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čunovodstvo\Financijski plan\Financijski plan 2020-2022\dodjeljeni limiti\upravni odbor\objava na web\"/>
    </mc:Choice>
  </mc:AlternateContent>
  <xr:revisionPtr revIDLastSave="0" documentId="8_{6D5D51A1-C107-4A63-85E2-B2E79C430D8D}" xr6:coauthVersionLast="45" xr6:coauthVersionMax="45" xr10:uidLastSave="{00000000-0000-0000-0000-000000000000}"/>
  <bookViews>
    <workbookView xWindow="-120" yWindow="-120" windowWidth="29040" windowHeight="15840" firstSheet="11" activeTab="11" xr2:uid="{00000000-000D-0000-FFFF-FFFF00000000}"/>
  </bookViews>
  <sheets>
    <sheet name="NASLOVNA" sheetId="1" state="hidden" r:id="rId1"/>
    <sheet name=" UKUPNO IZVORI" sheetId="2" state="hidden" r:id="rId2"/>
    <sheet name="MINGPO" sheetId="3" state="hidden" r:id="rId3"/>
    <sheet name="ZALIHE" sheetId="4" state="hidden" r:id="rId4"/>
    <sheet name=" AOPT" sheetId="5" state="hidden" r:id="rId5"/>
    <sheet name="AIK" sheetId="6" state="hidden" r:id="rId6"/>
    <sheet name="DZM" sheetId="7" state="hidden" r:id="rId7"/>
    <sheet name="HZN" sheetId="8" state="hidden" r:id="rId8"/>
    <sheet name="HAA" sheetId="9" state="hidden" r:id="rId9"/>
    <sheet name="HAMAG-BICRO - prihodi" sheetId="10" state="hidden" r:id="rId10"/>
    <sheet name="HAMAG-BICRO - rashodi" sheetId="11" state="hidden" r:id="rId11"/>
    <sheet name="HAMAG-BICRO_rashodi (2) " sheetId="12" r:id="rId12"/>
    <sheet name="HAMAG-BICRO - prihodi (2)" sheetId="13" r:id="rId13"/>
    <sheet name="2. razina" sheetId="14" state="hidden" r:id="rId14"/>
    <sheet name="HCZP" sheetId="15" state="hidden" r:id="rId15"/>
  </sheets>
  <definedNames>
    <definedName name="_xlnm.Print_Area" localSheetId="4">' AOPT'!$A$1:$H$65</definedName>
    <definedName name="_xlnm.Print_Area" localSheetId="13">'2. razina'!$A$1:$I$563</definedName>
    <definedName name="_xlnm.Print_Area" localSheetId="5">AIK!$A$1:$H$113</definedName>
    <definedName name="_xlnm.Print_Area" localSheetId="6">DZM!$A$1:$H$75</definedName>
    <definedName name="_xlnm.Print_Area" localSheetId="8">HAA!$A$1:$H$68</definedName>
    <definedName name="_xlnm.Print_Area" localSheetId="12">'HAMAG-BICRO - prihodi (2)'!$A$1:$G$98</definedName>
    <definedName name="_xlnm.Print_Area" localSheetId="10">'HAMAG-BICRO - rashodi'!$A$2:$I$339</definedName>
    <definedName name="_xlnm.Print_Area" localSheetId="11">'HAMAG-BICRO_rashodi (2) '!$A$1:$G$543</definedName>
    <definedName name="_xlnm.Print_Area" localSheetId="14">HCZP!$A$1:$H$64</definedName>
    <definedName name="_xlnm.Print_Area" localSheetId="7">HZN!$A$1:$H$72</definedName>
    <definedName name="_xlnm.Print_Area" localSheetId="2">MINGPO!$A$1:$G$357</definedName>
    <definedName name="_xlnm.Print_Area" localSheetId="3">ZALIHE!$A$1:$H$126</definedName>
    <definedName name="_xlnm.Print_Titles" localSheetId="4">' AOPT'!$1:$1</definedName>
    <definedName name="_xlnm.Print_Titles" localSheetId="5">AIK!$1:$1</definedName>
    <definedName name="_xlnm.Print_Titles" localSheetId="6">DZM!$1:$1</definedName>
    <definedName name="_xlnm.Print_Titles" localSheetId="8">HAA!$1:$1</definedName>
    <definedName name="_xlnm.Print_Titles" localSheetId="12">'HAMAG-BICRO - prihodi (2)'!$2:$4</definedName>
    <definedName name="_xlnm.Print_Titles" localSheetId="11">'HAMAG-BICRO_rashodi (2) '!$2:$2</definedName>
    <definedName name="_xlnm.Print_Titles" localSheetId="7">HZN!$1:$1</definedName>
    <definedName name="_xlnm.Print_Titles" localSheetId="2">MINGPO!$1:$1</definedName>
    <definedName name="_xlnm.Print_Titles" localSheetId="3">ZALIHE!$1:$1</definedName>
    <definedName name="Z_0D7CE69A_AF67_471F_AE1C_92FEF35D1955_.wvu.Cols" localSheetId="1" hidden="1">' UKUPNO IZVORI'!$D:$D,' UKUPNO IZVORI'!$IR:$IR,' UKUPNO IZVORI'!$IU:$IU,' UKUPNO IZVORI'!$SN:$SN,' UKUPNO IZVORI'!$SQ:$SQ,' UKUPNO IZVORI'!$ACJ:$ACJ,' UKUPNO IZVORI'!$ACM:$ACM,' UKUPNO IZVORI'!$AMF:$AMF,' UKUPNO IZVORI'!$AMI:$AMI,' UKUPNO IZVORI'!$AWB:$AWB,' UKUPNO IZVORI'!$AWE:$AWE,' UKUPNO IZVORI'!$BFX:$BFX,' UKUPNO IZVORI'!$BGA:$BGA,' UKUPNO IZVORI'!$BPT:$BPT,' UKUPNO IZVORI'!$BPW:$BPW,' UKUPNO IZVORI'!$BZP:$BZP,' UKUPNO IZVORI'!$BZS:$BZS,' UKUPNO IZVORI'!$CJL:$CJL,' UKUPNO IZVORI'!$CJO:$CJO,' UKUPNO IZVORI'!$CTH:$CTH,' UKUPNO IZVORI'!$CTK:$CTK,' UKUPNO IZVORI'!$DDD:$DDD,' UKUPNO IZVORI'!$DDG:$DDG,' UKUPNO IZVORI'!$DMZ:$DMZ,' UKUPNO IZVORI'!$DNC:$DNC,' UKUPNO IZVORI'!$DWV:$DWV,' UKUPNO IZVORI'!$DWY:$DWY,' UKUPNO IZVORI'!$EGR:$EGR,' UKUPNO IZVORI'!$EGU:$EGU,' UKUPNO IZVORI'!$EQN:$EQN,' UKUPNO IZVORI'!$EQQ:$EQQ,' UKUPNO IZVORI'!$FAJ:$FAJ,' UKUPNO IZVORI'!$FAM:$FAM,' UKUPNO IZVORI'!$FKF:$FKF,' UKUPNO IZVORI'!$FKI:$FKI,' UKUPNO IZVORI'!$FUB:$FUB,' UKUPNO IZVORI'!$FUE:$FUE,' UKUPNO IZVORI'!$GDX:$GDX,' UKUPNO IZVORI'!$GEA:$GEA,' UKUPNO IZVORI'!$GNT:$GNT,' UKUPNO IZVORI'!$GNW:$GNW,' UKUPNO IZVORI'!$GXP:$GXP,' UKUPNO IZVORI'!$GXS:$GXS,' UKUPNO IZVORI'!$HHL:$HHL,' UKUPNO IZVORI'!$HHO:$HHO,' UKUPNO IZVORI'!$HRH:$HRH,' UKUPNO IZVORI'!$HRK:$HRK,' UKUPNO IZVORI'!$IBD:$IBD,' UKUPNO IZVORI'!$IBG:$IBG,' UKUPNO IZVORI'!$IKZ:$IKZ,' UKUPNO IZVORI'!$ILC:$ILC,' UKUPNO IZVORI'!$IUV:$IUV,' UKUPNO IZVORI'!$IUY:$IUY,' UKUPNO IZVORI'!$JER:$JER,' UKUPNO IZVORI'!$JEU:$JEU,' UKUPNO IZVORI'!$JON:$JON,' UKUPNO IZVORI'!$JOQ:$JOQ,' UKUPNO IZVORI'!$JYJ:$JYJ,' UKUPNO IZVORI'!$JYM:$JYM,' UKUPNO IZVORI'!$KIF:$KIF,' UKUPNO IZVORI'!$KII:$KII,' UKUPNO IZVORI'!$KSB:$KSB,' UKUPNO IZVORI'!$KSE:$KSE,' UKUPNO IZVORI'!$LBX:$LBX,' UKUPNO IZVORI'!$LCA:$LCA,' UKUPNO IZVORI'!$LLT:$LLT,' UKUPNO IZVORI'!$LLW:$LLW,' UKUPNO IZVORI'!$LVP:$LVP,' UKUPNO IZVORI'!$LVS:$LVS,' UKUPNO IZVORI'!$MFL:$MFL,' UKUPNO IZVORI'!$MFO:$MFO,' UKUPNO IZVORI'!$MPH:$MPH,' UKUPNO IZVORI'!$MPK:$MPK,' UKUPNO IZVORI'!$MZD:$MZD,' UKUPNO IZVORI'!$MZG:$MZG,' UKUPNO IZVORI'!$NIZ:$NIZ,' UKUPNO IZVORI'!$NJC:$NJC,' UKUPNO IZVORI'!$NSV:$NSV,' UKUPNO IZVORI'!$NSY:$NSY,' UKUPNO IZVORI'!$OCR:$OCR,' UKUPNO IZVORI'!$OCU:$OCU,' UKUPNO IZVORI'!$OMN:$OMN,' UKUPNO IZVORI'!$OMQ:$OMQ,' UKUPNO IZVORI'!$OWJ:$OWJ,' UKUPNO IZVORI'!$OWM:$OWM,' UKUPNO IZVORI'!$PGF:$PGF,' UKUPNO IZVORI'!$PGI:$PGI,' UKUPNO IZVORI'!$PQB:$PQB,' UKUPNO IZVORI'!$PQE:$PQE,' UKUPNO IZVORI'!$PZX:$PZX,' UKUPNO IZVORI'!$QAA:$QAA,' UKUPNO IZVORI'!$QJT:$QJT,' UKUPNO IZVORI'!$QJW:$QJW,' UKUPNO IZVORI'!$QTP:$QTP,' UKUPNO IZVORI'!$QTS:$QTS,' UKUPNO IZVORI'!$RDL:$RDL,' UKUPNO IZVORI'!$RDO:$RDO,' UKUPNO IZVORI'!$RNH:$RNH,' UKUPNO IZVORI'!$RNK:$RNK,' UKUPNO IZVORI'!$RXD:$RXD,' UKUPNO IZVORI'!$RXG:$RXG,' UKUPNO IZVORI'!$SGZ:$SGZ,' UKUPNO IZVORI'!$SHC:$SHC,' UKUPNO IZVORI'!$SQV:$SQV,' UKUPNO IZVORI'!$SQY:$SQY,' UKUPNO IZVORI'!$TAR:$TAR,' UKUPNO IZVORI'!$TAU:$TAU,' UKUPNO IZVORI'!$TKN:$TKN,' UKUPNO IZVORI'!$TKQ:$TKQ,' UKUPNO IZVORI'!$TUJ:$TUJ,' UKUPNO IZVORI'!$TUM:$TUM,' UKUPNO IZVORI'!$UEF:$UEF,' UKUPNO IZVORI'!$UEI:$UEI,' UKUPNO IZVORI'!$UOB:$UOB,' UKUPNO IZVORI'!$UOE:$UOE,' UKUPNO IZVORI'!$UXX:$UXX,' UKUPNO IZVORI'!$UYA:$UYA,' UKUPNO IZVORI'!$VHT:$VHT,' UKUPNO IZVORI'!$VHW:$VHW,' UKUPNO IZVORI'!$VRP:$VRP,' UKUPNO IZVORI'!$VRS:$VRS,' UKUPNO IZVORI'!$WBL:$WBL,' UKUPNO IZVORI'!$WBO:$WBO,' UKUPNO IZVORI'!$WLH:$WLH,' UKUPNO IZVORI'!$WLK:$WLK,' UKUPNO IZVORI'!$WVD:$WVD,' UKUPNO IZVORI'!$WVG:$WVG</definedName>
    <definedName name="Z_0D7CE69A_AF67_471F_AE1C_92FEF35D1955_.wvu.Cols" localSheetId="13" hidden="1">'2. razina'!$I:$I</definedName>
    <definedName name="Z_0D7CE69A_AF67_471F_AE1C_92FEF35D1955_.wvu.Cols" localSheetId="12" hidden="1">'HAMAG-BICRO - prihodi (2)'!#REF!,'HAMAG-BICRO - prihodi (2)'!$H:$J</definedName>
    <definedName name="Z_0D7CE69A_AF67_471F_AE1C_92FEF35D1955_.wvu.Cols" localSheetId="10" hidden="1">'HAMAG-BICRO - rashodi'!$D:$E</definedName>
    <definedName name="Z_0D7CE69A_AF67_471F_AE1C_92FEF35D1955_.wvu.Cols" localSheetId="14" hidden="1">HCZP!$D:$D</definedName>
    <definedName name="Z_0D7CE69A_AF67_471F_AE1C_92FEF35D1955_.wvu.PrintArea" localSheetId="4" hidden="1">' AOPT'!$A$1:$H$65</definedName>
    <definedName name="Z_0D7CE69A_AF67_471F_AE1C_92FEF35D1955_.wvu.PrintArea" localSheetId="13" hidden="1">'2. razina'!$A$1:$I$563</definedName>
    <definedName name="Z_0D7CE69A_AF67_471F_AE1C_92FEF35D1955_.wvu.PrintArea" localSheetId="5" hidden="1">AIK!$A$1:$H$113</definedName>
    <definedName name="Z_0D7CE69A_AF67_471F_AE1C_92FEF35D1955_.wvu.PrintArea" localSheetId="6" hidden="1">DZM!$A$1:$H$75</definedName>
    <definedName name="Z_0D7CE69A_AF67_471F_AE1C_92FEF35D1955_.wvu.PrintArea" localSheetId="8" hidden="1">HAA!$A$1:$H$68</definedName>
    <definedName name="Z_0D7CE69A_AF67_471F_AE1C_92FEF35D1955_.wvu.PrintArea" localSheetId="12" hidden="1">'HAMAG-BICRO - prihodi (2)'!$A$1:$G$65</definedName>
    <definedName name="Z_0D7CE69A_AF67_471F_AE1C_92FEF35D1955_.wvu.PrintArea" localSheetId="10" hidden="1">'HAMAG-BICRO - rashodi'!$A$2:$I$339</definedName>
    <definedName name="Z_0D7CE69A_AF67_471F_AE1C_92FEF35D1955_.wvu.PrintArea" localSheetId="11" hidden="1">'HAMAG-BICRO_rashodi (2) '!$A$1:$G$538</definedName>
    <definedName name="Z_0D7CE69A_AF67_471F_AE1C_92FEF35D1955_.wvu.PrintArea" localSheetId="14" hidden="1">HCZP!$A$1:$H$64</definedName>
    <definedName name="Z_0D7CE69A_AF67_471F_AE1C_92FEF35D1955_.wvu.PrintArea" localSheetId="7" hidden="1">HZN!$A$1:$H$72</definedName>
    <definedName name="Z_0D7CE69A_AF67_471F_AE1C_92FEF35D1955_.wvu.PrintArea" localSheetId="2" hidden="1">MINGPO!$A$1:$G$357</definedName>
    <definedName name="Z_0D7CE69A_AF67_471F_AE1C_92FEF35D1955_.wvu.PrintArea" localSheetId="3" hidden="1">ZALIHE!$A$1:$H$126</definedName>
    <definedName name="Z_0D7CE69A_AF67_471F_AE1C_92FEF35D1955_.wvu.PrintTitles" localSheetId="4" hidden="1">' AOPT'!$1:$1</definedName>
    <definedName name="Z_0D7CE69A_AF67_471F_AE1C_92FEF35D1955_.wvu.PrintTitles" localSheetId="5" hidden="1">AIK!$1:$1</definedName>
    <definedName name="Z_0D7CE69A_AF67_471F_AE1C_92FEF35D1955_.wvu.PrintTitles" localSheetId="6" hidden="1">DZM!$1:$1</definedName>
    <definedName name="Z_0D7CE69A_AF67_471F_AE1C_92FEF35D1955_.wvu.PrintTitles" localSheetId="8" hidden="1">HAA!$1:$1</definedName>
    <definedName name="Z_0D7CE69A_AF67_471F_AE1C_92FEF35D1955_.wvu.PrintTitles" localSheetId="12" hidden="1">'HAMAG-BICRO - prihodi (2)'!$2:$4</definedName>
    <definedName name="Z_0D7CE69A_AF67_471F_AE1C_92FEF35D1955_.wvu.PrintTitles" localSheetId="7" hidden="1">HZN!$1:$1</definedName>
    <definedName name="Z_0D7CE69A_AF67_471F_AE1C_92FEF35D1955_.wvu.PrintTitles" localSheetId="2" hidden="1">MINGPO!$1:$1</definedName>
    <definedName name="Z_0D7CE69A_AF67_471F_AE1C_92FEF35D1955_.wvu.PrintTitles" localSheetId="3" hidden="1">ZALIHE!$1:$1</definedName>
    <definedName name="Z_0D7CE69A_AF67_471F_AE1C_92FEF35D1955_.wvu.Rows" localSheetId="13" hidden="1">'2. razina'!$20:$28,'2. razina'!$30:$62,'2. razina'!$64:$66,'2. razina'!$68:$71,'2. razina'!$73:$79,'2. razina'!$82:$84,'2. razina'!$88:$103,'2. razina'!$106:$153,'2. razina'!$156:$159,'2. razina'!$162:$165,'2. razina'!$168:$181,'2. razina'!$185:$188,'2. razina'!$192:$203,'2. razina'!$206:$213,'2. razina'!$215:$235,'2. razina'!$237:$238,'2. razina'!$240:$241,'2. razina'!$243:$244,'2. razina'!$246:$250,'2. razina'!$253:$262,'2. razina'!$264:$267,'2. razina'!$270:$282,'2. razina'!$284:$285,'2. razina'!$288:$289,'2. razina'!$291:$309,'2. razina'!$311:$315,'2. razina'!$318:$324,'2. razina'!$326:$346,'2. razina'!$348:$350,'2. razina'!$355:$373,'2. razina'!$377:$421,'2. razina'!$424:$427,'2. razina'!$430:$433,'2. razina'!$436:$437,'2. razina'!$439:$440,'2. razina'!$443:$450,'2. razina'!$452:$464,'2. razina'!$466:$467,'2. razina'!$471:$478,'2. razina'!$482:$489,'2. razina'!$492:$493,'2. razina'!$496:$501,'2. razina'!$503:$515,'2. razina'!$517:$518,'2. razina'!$520:$523,'2. razina'!$527:$536,'2. razina'!$540:$555,'2. razina'!$558:$583,'2. razina'!$586:$589,'2. razina'!$592:$603</definedName>
    <definedName name="Z_0D7CE69A_AF67_471F_AE1C_92FEF35D1955_.wvu.Rows" localSheetId="12" hidden="1">'HAMAG-BICRO - prihodi (2)'!$72:$82</definedName>
    <definedName name="Z_0D7CE69A_AF67_471F_AE1C_92FEF35D1955_.wvu.Rows" localSheetId="10" hidden="1">'HAMAG-BICRO - rashodi'!$74:$80</definedName>
    <definedName name="Z_0D7CE69A_AF67_471F_AE1C_92FEF35D1955_.wvu.Rows" localSheetId="2" hidden="1">MINGPO!$235:$237,MINGPO!$271:$271,MINGPO!$273:$273,MINGPO!$278:$278,MINGPO!$282:$282,MINGPO!$286:$286</definedName>
    <definedName name="Z_14A1FC8C_94B5_4B4E_9269_30661976D1D1_.wvu.Cols" localSheetId="1" hidden="1">' UKUPNO IZVORI'!$D:$D,' UKUPNO IZVORI'!$IR:$IR,' UKUPNO IZVORI'!$IU:$IU,' UKUPNO IZVORI'!$SN:$SN,' UKUPNO IZVORI'!$SQ:$SQ,' UKUPNO IZVORI'!$ACJ:$ACJ,' UKUPNO IZVORI'!$ACM:$ACM,' UKUPNO IZVORI'!$AMF:$AMF,' UKUPNO IZVORI'!$AMI:$AMI,' UKUPNO IZVORI'!$AWB:$AWB,' UKUPNO IZVORI'!$AWE:$AWE,' UKUPNO IZVORI'!$BFX:$BFX,' UKUPNO IZVORI'!$BGA:$BGA,' UKUPNO IZVORI'!$BPT:$BPT,' UKUPNO IZVORI'!$BPW:$BPW,' UKUPNO IZVORI'!$BZP:$BZP,' UKUPNO IZVORI'!$BZS:$BZS,' UKUPNO IZVORI'!$CJL:$CJL,' UKUPNO IZVORI'!$CJO:$CJO,' UKUPNO IZVORI'!$CTH:$CTH,' UKUPNO IZVORI'!$CTK:$CTK,' UKUPNO IZVORI'!$DDD:$DDD,' UKUPNO IZVORI'!$DDG:$DDG,' UKUPNO IZVORI'!$DMZ:$DMZ,' UKUPNO IZVORI'!$DNC:$DNC,' UKUPNO IZVORI'!$DWV:$DWV,' UKUPNO IZVORI'!$DWY:$DWY,' UKUPNO IZVORI'!$EGR:$EGR,' UKUPNO IZVORI'!$EGU:$EGU,' UKUPNO IZVORI'!$EQN:$EQN,' UKUPNO IZVORI'!$EQQ:$EQQ,' UKUPNO IZVORI'!$FAJ:$FAJ,' UKUPNO IZVORI'!$FAM:$FAM,' UKUPNO IZVORI'!$FKF:$FKF,' UKUPNO IZVORI'!$FKI:$FKI,' UKUPNO IZVORI'!$FUB:$FUB,' UKUPNO IZVORI'!$FUE:$FUE,' UKUPNO IZVORI'!$GDX:$GDX,' UKUPNO IZVORI'!$GEA:$GEA,' UKUPNO IZVORI'!$GNT:$GNT,' UKUPNO IZVORI'!$GNW:$GNW,' UKUPNO IZVORI'!$GXP:$GXP,' UKUPNO IZVORI'!$GXS:$GXS,' UKUPNO IZVORI'!$HHL:$HHL,' UKUPNO IZVORI'!$HHO:$HHO,' UKUPNO IZVORI'!$HRH:$HRH,' UKUPNO IZVORI'!$HRK:$HRK,' UKUPNO IZVORI'!$IBD:$IBD,' UKUPNO IZVORI'!$IBG:$IBG,' UKUPNO IZVORI'!$IKZ:$IKZ,' UKUPNO IZVORI'!$ILC:$ILC,' UKUPNO IZVORI'!$IUV:$IUV,' UKUPNO IZVORI'!$IUY:$IUY,' UKUPNO IZVORI'!$JER:$JER,' UKUPNO IZVORI'!$JEU:$JEU,' UKUPNO IZVORI'!$JON:$JON,' UKUPNO IZVORI'!$JOQ:$JOQ,' UKUPNO IZVORI'!$JYJ:$JYJ,' UKUPNO IZVORI'!$JYM:$JYM,' UKUPNO IZVORI'!$KIF:$KIF,' UKUPNO IZVORI'!$KII:$KII,' UKUPNO IZVORI'!$KSB:$KSB,' UKUPNO IZVORI'!$KSE:$KSE,' UKUPNO IZVORI'!$LBX:$LBX,' UKUPNO IZVORI'!$LCA:$LCA,' UKUPNO IZVORI'!$LLT:$LLT,' UKUPNO IZVORI'!$LLW:$LLW,' UKUPNO IZVORI'!$LVP:$LVP,' UKUPNO IZVORI'!$LVS:$LVS,' UKUPNO IZVORI'!$MFL:$MFL,' UKUPNO IZVORI'!$MFO:$MFO,' UKUPNO IZVORI'!$MPH:$MPH,' UKUPNO IZVORI'!$MPK:$MPK,' UKUPNO IZVORI'!$MZD:$MZD,' UKUPNO IZVORI'!$MZG:$MZG,' UKUPNO IZVORI'!$NIZ:$NIZ,' UKUPNO IZVORI'!$NJC:$NJC,' UKUPNO IZVORI'!$NSV:$NSV,' UKUPNO IZVORI'!$NSY:$NSY,' UKUPNO IZVORI'!$OCR:$OCR,' UKUPNO IZVORI'!$OCU:$OCU,' UKUPNO IZVORI'!$OMN:$OMN,' UKUPNO IZVORI'!$OMQ:$OMQ,' UKUPNO IZVORI'!$OWJ:$OWJ,' UKUPNO IZVORI'!$OWM:$OWM,' UKUPNO IZVORI'!$PGF:$PGF,' UKUPNO IZVORI'!$PGI:$PGI,' UKUPNO IZVORI'!$PQB:$PQB,' UKUPNO IZVORI'!$PQE:$PQE,' UKUPNO IZVORI'!$PZX:$PZX,' UKUPNO IZVORI'!$QAA:$QAA,' UKUPNO IZVORI'!$QJT:$QJT,' UKUPNO IZVORI'!$QJW:$QJW,' UKUPNO IZVORI'!$QTP:$QTP,' UKUPNO IZVORI'!$QTS:$QTS,' UKUPNO IZVORI'!$RDL:$RDL,' UKUPNO IZVORI'!$RDO:$RDO,' UKUPNO IZVORI'!$RNH:$RNH,' UKUPNO IZVORI'!$RNK:$RNK,' UKUPNO IZVORI'!$RXD:$RXD,' UKUPNO IZVORI'!$RXG:$RXG,' UKUPNO IZVORI'!$SGZ:$SGZ,' UKUPNO IZVORI'!$SHC:$SHC,' UKUPNO IZVORI'!$SQV:$SQV,' UKUPNO IZVORI'!$SQY:$SQY,' UKUPNO IZVORI'!$TAR:$TAR,' UKUPNO IZVORI'!$TAU:$TAU,' UKUPNO IZVORI'!$TKN:$TKN,' UKUPNO IZVORI'!$TKQ:$TKQ,' UKUPNO IZVORI'!$TUJ:$TUJ,' UKUPNO IZVORI'!$TUM:$TUM,' UKUPNO IZVORI'!$UEF:$UEF,' UKUPNO IZVORI'!$UEI:$UEI,' UKUPNO IZVORI'!$UOB:$UOB,' UKUPNO IZVORI'!$UOE:$UOE,' UKUPNO IZVORI'!$UXX:$UXX,' UKUPNO IZVORI'!$UYA:$UYA,' UKUPNO IZVORI'!$VHT:$VHT,' UKUPNO IZVORI'!$VHW:$VHW,' UKUPNO IZVORI'!$VRP:$VRP,' UKUPNO IZVORI'!$VRS:$VRS,' UKUPNO IZVORI'!$WBL:$WBL,' UKUPNO IZVORI'!$WBO:$WBO,' UKUPNO IZVORI'!$WLH:$WLH,' UKUPNO IZVORI'!$WLK:$WLK,' UKUPNO IZVORI'!$WVD:$WVD,' UKUPNO IZVORI'!$WVG:$WVG</definedName>
    <definedName name="Z_14A1FC8C_94B5_4B4E_9269_30661976D1D1_.wvu.Cols" localSheetId="13" hidden="1">'2. razina'!$I:$I</definedName>
    <definedName name="Z_14A1FC8C_94B5_4B4E_9269_30661976D1D1_.wvu.Cols" localSheetId="12" hidden="1">'HAMAG-BICRO - prihodi (2)'!#REF!,'HAMAG-BICRO - prihodi (2)'!$H:$J</definedName>
    <definedName name="Z_14A1FC8C_94B5_4B4E_9269_30661976D1D1_.wvu.Cols" localSheetId="10" hidden="1">'HAMAG-BICRO - rashodi'!$D:$E</definedName>
    <definedName name="Z_14A1FC8C_94B5_4B4E_9269_30661976D1D1_.wvu.Cols" localSheetId="14" hidden="1">HCZP!$D:$D</definedName>
    <definedName name="Z_14A1FC8C_94B5_4B4E_9269_30661976D1D1_.wvu.PrintArea" localSheetId="4" hidden="1">' AOPT'!$A$1:$H$65</definedName>
    <definedName name="Z_14A1FC8C_94B5_4B4E_9269_30661976D1D1_.wvu.PrintArea" localSheetId="13" hidden="1">'2. razina'!$A$1:$I$563</definedName>
    <definedName name="Z_14A1FC8C_94B5_4B4E_9269_30661976D1D1_.wvu.PrintArea" localSheetId="5" hidden="1">AIK!$A$1:$H$113</definedName>
    <definedName name="Z_14A1FC8C_94B5_4B4E_9269_30661976D1D1_.wvu.PrintArea" localSheetId="6" hidden="1">DZM!$A$1:$H$75</definedName>
    <definedName name="Z_14A1FC8C_94B5_4B4E_9269_30661976D1D1_.wvu.PrintArea" localSheetId="8" hidden="1">HAA!$A$1:$H$68</definedName>
    <definedName name="Z_14A1FC8C_94B5_4B4E_9269_30661976D1D1_.wvu.PrintArea" localSheetId="12" hidden="1">'HAMAG-BICRO - prihodi (2)'!$A$1:$G$65</definedName>
    <definedName name="Z_14A1FC8C_94B5_4B4E_9269_30661976D1D1_.wvu.PrintArea" localSheetId="10" hidden="1">'HAMAG-BICRO - rashodi'!$A$2:$I$339</definedName>
    <definedName name="Z_14A1FC8C_94B5_4B4E_9269_30661976D1D1_.wvu.PrintArea" localSheetId="11" hidden="1">'HAMAG-BICRO_rashodi (2) '!$A$1:$G$538</definedName>
    <definedName name="Z_14A1FC8C_94B5_4B4E_9269_30661976D1D1_.wvu.PrintArea" localSheetId="14" hidden="1">HCZP!$A$1:$H$64</definedName>
    <definedName name="Z_14A1FC8C_94B5_4B4E_9269_30661976D1D1_.wvu.PrintArea" localSheetId="7" hidden="1">HZN!$A$1:$H$72</definedName>
    <definedName name="Z_14A1FC8C_94B5_4B4E_9269_30661976D1D1_.wvu.PrintArea" localSheetId="2" hidden="1">MINGPO!$A$1:$G$357</definedName>
    <definedName name="Z_14A1FC8C_94B5_4B4E_9269_30661976D1D1_.wvu.PrintArea" localSheetId="3" hidden="1">ZALIHE!$A$1:$H$126</definedName>
    <definedName name="Z_14A1FC8C_94B5_4B4E_9269_30661976D1D1_.wvu.PrintTitles" localSheetId="4" hidden="1">' AOPT'!$1:$1</definedName>
    <definedName name="Z_14A1FC8C_94B5_4B4E_9269_30661976D1D1_.wvu.PrintTitles" localSheetId="5" hidden="1">AIK!$1:$1</definedName>
    <definedName name="Z_14A1FC8C_94B5_4B4E_9269_30661976D1D1_.wvu.PrintTitles" localSheetId="6" hidden="1">DZM!$1:$1</definedName>
    <definedName name="Z_14A1FC8C_94B5_4B4E_9269_30661976D1D1_.wvu.PrintTitles" localSheetId="8" hidden="1">HAA!$1:$1</definedName>
    <definedName name="Z_14A1FC8C_94B5_4B4E_9269_30661976D1D1_.wvu.PrintTitles" localSheetId="12" hidden="1">'HAMAG-BICRO - prihodi (2)'!$2:$4</definedName>
    <definedName name="Z_14A1FC8C_94B5_4B4E_9269_30661976D1D1_.wvu.PrintTitles" localSheetId="7" hidden="1">HZN!$1:$1</definedName>
    <definedName name="Z_14A1FC8C_94B5_4B4E_9269_30661976D1D1_.wvu.PrintTitles" localSheetId="2" hidden="1">MINGPO!$1:$1</definedName>
    <definedName name="Z_14A1FC8C_94B5_4B4E_9269_30661976D1D1_.wvu.PrintTitles" localSheetId="3" hidden="1">ZALIHE!$1:$1</definedName>
    <definedName name="Z_14A1FC8C_94B5_4B4E_9269_30661976D1D1_.wvu.Rows" localSheetId="13" hidden="1">'2. razina'!$20:$28,'2. razina'!$30:$62,'2. razina'!$64:$66,'2. razina'!$68:$71,'2. razina'!$73:$79,'2. razina'!$82:$84,'2. razina'!$88:$103,'2. razina'!$106:$153,'2. razina'!$156:$159,'2. razina'!$162:$165,'2. razina'!$168:$181,'2. razina'!$185:$188,'2. razina'!$192:$203,'2. razina'!$206:$213,'2. razina'!$215:$235,'2. razina'!$237:$238,'2. razina'!$240:$241,'2. razina'!$243:$244,'2. razina'!$246:$250,'2. razina'!$253:$262,'2. razina'!$264:$267,'2. razina'!$270:$282,'2. razina'!$284:$285,'2. razina'!$288:$289,'2. razina'!$291:$309,'2. razina'!$311:$315,'2. razina'!$318:$324,'2. razina'!$326:$346,'2. razina'!$348:$350,'2. razina'!$355:$373,'2. razina'!$377:$421,'2. razina'!$424:$427,'2. razina'!$430:$433,'2. razina'!$436:$437,'2. razina'!$439:$440,'2. razina'!$443:$450,'2. razina'!$452:$464,'2. razina'!$466:$467,'2. razina'!$471:$478,'2. razina'!$482:$489,'2. razina'!$492:$493,'2. razina'!$496:$501,'2. razina'!$503:$515,'2. razina'!$517:$518,'2. razina'!$520:$523,'2. razina'!$527:$536,'2. razina'!$540:$555,'2. razina'!$558:$583,'2. razina'!$586:$589,'2. razina'!$592:$603</definedName>
    <definedName name="Z_14A1FC8C_94B5_4B4E_9269_30661976D1D1_.wvu.Rows" localSheetId="12" hidden="1">'HAMAG-BICRO - prihodi (2)'!$72:$82</definedName>
    <definedName name="Z_14A1FC8C_94B5_4B4E_9269_30661976D1D1_.wvu.Rows" localSheetId="10" hidden="1">'HAMAG-BICRO - rashodi'!$74:$80</definedName>
    <definedName name="Z_14A1FC8C_94B5_4B4E_9269_30661976D1D1_.wvu.Rows" localSheetId="2" hidden="1">MINGPO!$235:$237,MINGPO!$271:$271,MINGPO!$273:$273,MINGPO!$278:$278,MINGPO!$282:$282,MINGPO!$286:$286</definedName>
    <definedName name="Z_3D59341C_00F4_4635_AC4F_8988CF6BE637_.wvu.Cols" localSheetId="1" hidden="1">' UKUPNO IZVORI'!$D:$D,' UKUPNO IZVORI'!$IR:$IR,' UKUPNO IZVORI'!$IU:$IU,' UKUPNO IZVORI'!$SN:$SN,' UKUPNO IZVORI'!$SQ:$SQ,' UKUPNO IZVORI'!$ACJ:$ACJ,' UKUPNO IZVORI'!$ACM:$ACM,' UKUPNO IZVORI'!$AMF:$AMF,' UKUPNO IZVORI'!$AMI:$AMI,' UKUPNO IZVORI'!$AWB:$AWB,' UKUPNO IZVORI'!$AWE:$AWE,' UKUPNO IZVORI'!$BFX:$BFX,' UKUPNO IZVORI'!$BGA:$BGA,' UKUPNO IZVORI'!$BPT:$BPT,' UKUPNO IZVORI'!$BPW:$BPW,' UKUPNO IZVORI'!$BZP:$BZP,' UKUPNO IZVORI'!$BZS:$BZS,' UKUPNO IZVORI'!$CJL:$CJL,' UKUPNO IZVORI'!$CJO:$CJO,' UKUPNO IZVORI'!$CTH:$CTH,' UKUPNO IZVORI'!$CTK:$CTK,' UKUPNO IZVORI'!$DDD:$DDD,' UKUPNO IZVORI'!$DDG:$DDG,' UKUPNO IZVORI'!$DMZ:$DMZ,' UKUPNO IZVORI'!$DNC:$DNC,' UKUPNO IZVORI'!$DWV:$DWV,' UKUPNO IZVORI'!$DWY:$DWY,' UKUPNO IZVORI'!$EGR:$EGR,' UKUPNO IZVORI'!$EGU:$EGU,' UKUPNO IZVORI'!$EQN:$EQN,' UKUPNO IZVORI'!$EQQ:$EQQ,' UKUPNO IZVORI'!$FAJ:$FAJ,' UKUPNO IZVORI'!$FAM:$FAM,' UKUPNO IZVORI'!$FKF:$FKF,' UKUPNO IZVORI'!$FKI:$FKI,' UKUPNO IZVORI'!$FUB:$FUB,' UKUPNO IZVORI'!$FUE:$FUE,' UKUPNO IZVORI'!$GDX:$GDX,' UKUPNO IZVORI'!$GEA:$GEA,' UKUPNO IZVORI'!$GNT:$GNT,' UKUPNO IZVORI'!$GNW:$GNW,' UKUPNO IZVORI'!$GXP:$GXP,' UKUPNO IZVORI'!$GXS:$GXS,' UKUPNO IZVORI'!$HHL:$HHL,' UKUPNO IZVORI'!$HHO:$HHO,' UKUPNO IZVORI'!$HRH:$HRH,' UKUPNO IZVORI'!$HRK:$HRK,' UKUPNO IZVORI'!$IBD:$IBD,' UKUPNO IZVORI'!$IBG:$IBG,' UKUPNO IZVORI'!$IKZ:$IKZ,' UKUPNO IZVORI'!$ILC:$ILC,' UKUPNO IZVORI'!$IUV:$IUV,' UKUPNO IZVORI'!$IUY:$IUY,' UKUPNO IZVORI'!$JER:$JER,' UKUPNO IZVORI'!$JEU:$JEU,' UKUPNO IZVORI'!$JON:$JON,' UKUPNO IZVORI'!$JOQ:$JOQ,' UKUPNO IZVORI'!$JYJ:$JYJ,' UKUPNO IZVORI'!$JYM:$JYM,' UKUPNO IZVORI'!$KIF:$KIF,' UKUPNO IZVORI'!$KII:$KII,' UKUPNO IZVORI'!$KSB:$KSB,' UKUPNO IZVORI'!$KSE:$KSE,' UKUPNO IZVORI'!$LBX:$LBX,' UKUPNO IZVORI'!$LCA:$LCA,' UKUPNO IZVORI'!$LLT:$LLT,' UKUPNO IZVORI'!$LLW:$LLW,' UKUPNO IZVORI'!$LVP:$LVP,' UKUPNO IZVORI'!$LVS:$LVS,' UKUPNO IZVORI'!$MFL:$MFL,' UKUPNO IZVORI'!$MFO:$MFO,' UKUPNO IZVORI'!$MPH:$MPH,' UKUPNO IZVORI'!$MPK:$MPK,' UKUPNO IZVORI'!$MZD:$MZD,' UKUPNO IZVORI'!$MZG:$MZG,' UKUPNO IZVORI'!$NIZ:$NIZ,' UKUPNO IZVORI'!$NJC:$NJC,' UKUPNO IZVORI'!$NSV:$NSV,' UKUPNO IZVORI'!$NSY:$NSY,' UKUPNO IZVORI'!$OCR:$OCR,' UKUPNO IZVORI'!$OCU:$OCU,' UKUPNO IZVORI'!$OMN:$OMN,' UKUPNO IZVORI'!$OMQ:$OMQ,' UKUPNO IZVORI'!$OWJ:$OWJ,' UKUPNO IZVORI'!$OWM:$OWM,' UKUPNO IZVORI'!$PGF:$PGF,' UKUPNO IZVORI'!$PGI:$PGI,' UKUPNO IZVORI'!$PQB:$PQB,' UKUPNO IZVORI'!$PQE:$PQE,' UKUPNO IZVORI'!$PZX:$PZX,' UKUPNO IZVORI'!$QAA:$QAA,' UKUPNO IZVORI'!$QJT:$QJT,' UKUPNO IZVORI'!$QJW:$QJW,' UKUPNO IZVORI'!$QTP:$QTP,' UKUPNO IZVORI'!$QTS:$QTS,' UKUPNO IZVORI'!$RDL:$RDL,' UKUPNO IZVORI'!$RDO:$RDO,' UKUPNO IZVORI'!$RNH:$RNH,' UKUPNO IZVORI'!$RNK:$RNK,' UKUPNO IZVORI'!$RXD:$RXD,' UKUPNO IZVORI'!$RXG:$RXG,' UKUPNO IZVORI'!$SGZ:$SGZ,' UKUPNO IZVORI'!$SHC:$SHC,' UKUPNO IZVORI'!$SQV:$SQV,' UKUPNO IZVORI'!$SQY:$SQY,' UKUPNO IZVORI'!$TAR:$TAR,' UKUPNO IZVORI'!$TAU:$TAU,' UKUPNO IZVORI'!$TKN:$TKN,' UKUPNO IZVORI'!$TKQ:$TKQ,' UKUPNO IZVORI'!$TUJ:$TUJ,' UKUPNO IZVORI'!$TUM:$TUM,' UKUPNO IZVORI'!$UEF:$UEF,' UKUPNO IZVORI'!$UEI:$UEI,' UKUPNO IZVORI'!$UOB:$UOB,' UKUPNO IZVORI'!$UOE:$UOE,' UKUPNO IZVORI'!$UXX:$UXX,' UKUPNO IZVORI'!$UYA:$UYA,' UKUPNO IZVORI'!$VHT:$VHT,' UKUPNO IZVORI'!$VHW:$VHW,' UKUPNO IZVORI'!$VRP:$VRP,' UKUPNO IZVORI'!$VRS:$VRS,' UKUPNO IZVORI'!$WBL:$WBL,' UKUPNO IZVORI'!$WBO:$WBO,' UKUPNO IZVORI'!$WLH:$WLH,' UKUPNO IZVORI'!$WLK:$WLK,' UKUPNO IZVORI'!$WVD:$WVD,' UKUPNO IZVORI'!$WVG:$WVG</definedName>
    <definedName name="Z_3D59341C_00F4_4635_AC4F_8988CF6BE637_.wvu.Cols" localSheetId="13" hidden="1">'2. razina'!$I:$I</definedName>
    <definedName name="Z_3D59341C_00F4_4635_AC4F_8988CF6BE637_.wvu.Cols" localSheetId="12" hidden="1">'HAMAG-BICRO - prihodi (2)'!#REF!,'HAMAG-BICRO - prihodi (2)'!$H:$J</definedName>
    <definedName name="Z_3D59341C_00F4_4635_AC4F_8988CF6BE637_.wvu.Cols" localSheetId="10" hidden="1">'HAMAG-BICRO - rashodi'!$D:$E</definedName>
    <definedName name="Z_3D59341C_00F4_4635_AC4F_8988CF6BE637_.wvu.Cols" localSheetId="14" hidden="1">HCZP!$D:$D</definedName>
    <definedName name="Z_3D59341C_00F4_4635_AC4F_8988CF6BE637_.wvu.PrintArea" localSheetId="4" hidden="1">' AOPT'!$A$1:$H$65</definedName>
    <definedName name="Z_3D59341C_00F4_4635_AC4F_8988CF6BE637_.wvu.PrintArea" localSheetId="13" hidden="1">'2. razina'!$A$1:$I$563</definedName>
    <definedName name="Z_3D59341C_00F4_4635_AC4F_8988CF6BE637_.wvu.PrintArea" localSheetId="5" hidden="1">AIK!$A$1:$H$113</definedName>
    <definedName name="Z_3D59341C_00F4_4635_AC4F_8988CF6BE637_.wvu.PrintArea" localSheetId="6" hidden="1">DZM!$A$1:$H$75</definedName>
    <definedName name="Z_3D59341C_00F4_4635_AC4F_8988CF6BE637_.wvu.PrintArea" localSheetId="8" hidden="1">HAA!$A$1:$H$68</definedName>
    <definedName name="Z_3D59341C_00F4_4635_AC4F_8988CF6BE637_.wvu.PrintArea" localSheetId="12" hidden="1">'HAMAG-BICRO - prihodi (2)'!$A$1:$G$65</definedName>
    <definedName name="Z_3D59341C_00F4_4635_AC4F_8988CF6BE637_.wvu.PrintArea" localSheetId="10" hidden="1">'HAMAG-BICRO - rashodi'!$A$2:$I$339</definedName>
    <definedName name="Z_3D59341C_00F4_4635_AC4F_8988CF6BE637_.wvu.PrintArea" localSheetId="11" hidden="1">'HAMAG-BICRO_rashodi (2) '!$A$1:$G$538</definedName>
    <definedName name="Z_3D59341C_00F4_4635_AC4F_8988CF6BE637_.wvu.PrintArea" localSheetId="14" hidden="1">HCZP!$A$1:$H$64</definedName>
    <definedName name="Z_3D59341C_00F4_4635_AC4F_8988CF6BE637_.wvu.PrintArea" localSheetId="7" hidden="1">HZN!$A$1:$H$72</definedName>
    <definedName name="Z_3D59341C_00F4_4635_AC4F_8988CF6BE637_.wvu.PrintArea" localSheetId="2" hidden="1">MINGPO!$A$1:$G$357</definedName>
    <definedName name="Z_3D59341C_00F4_4635_AC4F_8988CF6BE637_.wvu.PrintArea" localSheetId="3" hidden="1">ZALIHE!$A$1:$H$126</definedName>
    <definedName name="Z_3D59341C_00F4_4635_AC4F_8988CF6BE637_.wvu.PrintTitles" localSheetId="4" hidden="1">' AOPT'!$1:$1</definedName>
    <definedName name="Z_3D59341C_00F4_4635_AC4F_8988CF6BE637_.wvu.PrintTitles" localSheetId="5" hidden="1">AIK!$1:$1</definedName>
    <definedName name="Z_3D59341C_00F4_4635_AC4F_8988CF6BE637_.wvu.PrintTitles" localSheetId="6" hidden="1">DZM!$1:$1</definedName>
    <definedName name="Z_3D59341C_00F4_4635_AC4F_8988CF6BE637_.wvu.PrintTitles" localSheetId="8" hidden="1">HAA!$1:$1</definedName>
    <definedName name="Z_3D59341C_00F4_4635_AC4F_8988CF6BE637_.wvu.PrintTitles" localSheetId="12" hidden="1">'HAMAG-BICRO - prihodi (2)'!$2:$4</definedName>
    <definedName name="Z_3D59341C_00F4_4635_AC4F_8988CF6BE637_.wvu.PrintTitles" localSheetId="7" hidden="1">HZN!$1:$1</definedName>
    <definedName name="Z_3D59341C_00F4_4635_AC4F_8988CF6BE637_.wvu.PrintTitles" localSheetId="2" hidden="1">MINGPO!$1:$1</definedName>
    <definedName name="Z_3D59341C_00F4_4635_AC4F_8988CF6BE637_.wvu.PrintTitles" localSheetId="3" hidden="1">ZALIHE!$1:$1</definedName>
    <definedName name="Z_3D59341C_00F4_4635_AC4F_8988CF6BE637_.wvu.Rows" localSheetId="13" hidden="1">'2. razina'!$20:$28,'2. razina'!$30:$62,'2. razina'!$64:$66,'2. razina'!$68:$71,'2. razina'!$73:$79,'2. razina'!$82:$84,'2. razina'!$88:$103,'2. razina'!$106:$153,'2. razina'!$156:$159,'2. razina'!$162:$165,'2. razina'!$168:$181,'2. razina'!$185:$188,'2. razina'!$192:$203,'2. razina'!$206:$213,'2. razina'!$215:$235,'2. razina'!$237:$238,'2. razina'!$240:$241,'2. razina'!$243:$244,'2. razina'!$246:$250,'2. razina'!$253:$262,'2. razina'!$264:$267,'2. razina'!$270:$282,'2. razina'!$284:$285,'2. razina'!$288:$289,'2. razina'!$291:$309,'2. razina'!$311:$315,'2. razina'!$318:$324,'2. razina'!$326:$346,'2. razina'!$348:$350,'2. razina'!$355:$373,'2. razina'!$377:$421,'2. razina'!$424:$427,'2. razina'!$430:$433,'2. razina'!$436:$437,'2. razina'!$439:$440,'2. razina'!$443:$450,'2. razina'!$452:$464,'2. razina'!$466:$467,'2. razina'!$471:$478,'2. razina'!$482:$489,'2. razina'!$492:$493,'2. razina'!$496:$501,'2. razina'!$503:$515,'2. razina'!$517:$518,'2. razina'!$520:$523,'2. razina'!$527:$536,'2. razina'!$540:$555,'2. razina'!$558:$583,'2. razina'!$586:$589,'2. razina'!$592:$603</definedName>
    <definedName name="Z_3D59341C_00F4_4635_AC4F_8988CF6BE637_.wvu.Rows" localSheetId="12" hidden="1">'HAMAG-BICRO - prihodi (2)'!$72:$82</definedName>
    <definedName name="Z_3D59341C_00F4_4635_AC4F_8988CF6BE637_.wvu.Rows" localSheetId="10" hidden="1">'HAMAG-BICRO - rashodi'!$74:$80</definedName>
    <definedName name="Z_3D59341C_00F4_4635_AC4F_8988CF6BE637_.wvu.Rows" localSheetId="2" hidden="1">MINGPO!$235:$237,MINGPO!$271:$271,MINGPO!$273:$273,MINGPO!$278:$278,MINGPO!$282:$282,MINGPO!$286:$286</definedName>
    <definedName name="Z_3EC3B099_A84F_48D2_A97E_B7686AB72BE7_.wvu.Cols" localSheetId="1" hidden="1">' UKUPNO IZVORI'!$D:$D,' UKUPNO IZVORI'!$IR:$IR,' UKUPNO IZVORI'!$IU:$IU,' UKUPNO IZVORI'!$SN:$SN,' UKUPNO IZVORI'!$SQ:$SQ,' UKUPNO IZVORI'!$ACJ:$ACJ,' UKUPNO IZVORI'!$ACM:$ACM,' UKUPNO IZVORI'!$AMF:$AMF,' UKUPNO IZVORI'!$AMI:$AMI,' UKUPNO IZVORI'!$AWB:$AWB,' UKUPNO IZVORI'!$AWE:$AWE,' UKUPNO IZVORI'!$BFX:$BFX,' UKUPNO IZVORI'!$BGA:$BGA,' UKUPNO IZVORI'!$BPT:$BPT,' UKUPNO IZVORI'!$BPW:$BPW,' UKUPNO IZVORI'!$BZP:$BZP,' UKUPNO IZVORI'!$BZS:$BZS,' UKUPNO IZVORI'!$CJL:$CJL,' UKUPNO IZVORI'!$CJO:$CJO,' UKUPNO IZVORI'!$CTH:$CTH,' UKUPNO IZVORI'!$CTK:$CTK,' UKUPNO IZVORI'!$DDD:$DDD,' UKUPNO IZVORI'!$DDG:$DDG,' UKUPNO IZVORI'!$DMZ:$DMZ,' UKUPNO IZVORI'!$DNC:$DNC,' UKUPNO IZVORI'!$DWV:$DWV,' UKUPNO IZVORI'!$DWY:$DWY,' UKUPNO IZVORI'!$EGR:$EGR,' UKUPNO IZVORI'!$EGU:$EGU,' UKUPNO IZVORI'!$EQN:$EQN,' UKUPNO IZVORI'!$EQQ:$EQQ,' UKUPNO IZVORI'!$FAJ:$FAJ,' UKUPNO IZVORI'!$FAM:$FAM,' UKUPNO IZVORI'!$FKF:$FKF,' UKUPNO IZVORI'!$FKI:$FKI,' UKUPNO IZVORI'!$FUB:$FUB,' UKUPNO IZVORI'!$FUE:$FUE,' UKUPNO IZVORI'!$GDX:$GDX,' UKUPNO IZVORI'!$GEA:$GEA,' UKUPNO IZVORI'!$GNT:$GNT,' UKUPNO IZVORI'!$GNW:$GNW,' UKUPNO IZVORI'!$GXP:$GXP,' UKUPNO IZVORI'!$GXS:$GXS,' UKUPNO IZVORI'!$HHL:$HHL,' UKUPNO IZVORI'!$HHO:$HHO,' UKUPNO IZVORI'!$HRH:$HRH,' UKUPNO IZVORI'!$HRK:$HRK,' UKUPNO IZVORI'!$IBD:$IBD,' UKUPNO IZVORI'!$IBG:$IBG,' UKUPNO IZVORI'!$IKZ:$IKZ,' UKUPNO IZVORI'!$ILC:$ILC,' UKUPNO IZVORI'!$IUV:$IUV,' UKUPNO IZVORI'!$IUY:$IUY,' UKUPNO IZVORI'!$JER:$JER,' UKUPNO IZVORI'!$JEU:$JEU,' UKUPNO IZVORI'!$JON:$JON,' UKUPNO IZVORI'!$JOQ:$JOQ,' UKUPNO IZVORI'!$JYJ:$JYJ,' UKUPNO IZVORI'!$JYM:$JYM,' UKUPNO IZVORI'!$KIF:$KIF,' UKUPNO IZVORI'!$KII:$KII,' UKUPNO IZVORI'!$KSB:$KSB,' UKUPNO IZVORI'!$KSE:$KSE,' UKUPNO IZVORI'!$LBX:$LBX,' UKUPNO IZVORI'!$LCA:$LCA,' UKUPNO IZVORI'!$LLT:$LLT,' UKUPNO IZVORI'!$LLW:$LLW,' UKUPNO IZVORI'!$LVP:$LVP,' UKUPNO IZVORI'!$LVS:$LVS,' UKUPNO IZVORI'!$MFL:$MFL,' UKUPNO IZVORI'!$MFO:$MFO,' UKUPNO IZVORI'!$MPH:$MPH,' UKUPNO IZVORI'!$MPK:$MPK,' UKUPNO IZVORI'!$MZD:$MZD,' UKUPNO IZVORI'!$MZG:$MZG,' UKUPNO IZVORI'!$NIZ:$NIZ,' UKUPNO IZVORI'!$NJC:$NJC,' UKUPNO IZVORI'!$NSV:$NSV,' UKUPNO IZVORI'!$NSY:$NSY,' UKUPNO IZVORI'!$OCR:$OCR,' UKUPNO IZVORI'!$OCU:$OCU,' UKUPNO IZVORI'!$OMN:$OMN,' UKUPNO IZVORI'!$OMQ:$OMQ,' UKUPNO IZVORI'!$OWJ:$OWJ,' UKUPNO IZVORI'!$OWM:$OWM,' UKUPNO IZVORI'!$PGF:$PGF,' UKUPNO IZVORI'!$PGI:$PGI,' UKUPNO IZVORI'!$PQB:$PQB,' UKUPNO IZVORI'!$PQE:$PQE,' UKUPNO IZVORI'!$PZX:$PZX,' UKUPNO IZVORI'!$QAA:$QAA,' UKUPNO IZVORI'!$QJT:$QJT,' UKUPNO IZVORI'!$QJW:$QJW,' UKUPNO IZVORI'!$QTP:$QTP,' UKUPNO IZVORI'!$QTS:$QTS,' UKUPNO IZVORI'!$RDL:$RDL,' UKUPNO IZVORI'!$RDO:$RDO,' UKUPNO IZVORI'!$RNH:$RNH,' UKUPNO IZVORI'!$RNK:$RNK,' UKUPNO IZVORI'!$RXD:$RXD,' UKUPNO IZVORI'!$RXG:$RXG,' UKUPNO IZVORI'!$SGZ:$SGZ,' UKUPNO IZVORI'!$SHC:$SHC,' UKUPNO IZVORI'!$SQV:$SQV,' UKUPNO IZVORI'!$SQY:$SQY,' UKUPNO IZVORI'!$TAR:$TAR,' UKUPNO IZVORI'!$TAU:$TAU,' UKUPNO IZVORI'!$TKN:$TKN,' UKUPNO IZVORI'!$TKQ:$TKQ,' UKUPNO IZVORI'!$TUJ:$TUJ,' UKUPNO IZVORI'!$TUM:$TUM,' UKUPNO IZVORI'!$UEF:$UEF,' UKUPNO IZVORI'!$UEI:$UEI,' UKUPNO IZVORI'!$UOB:$UOB,' UKUPNO IZVORI'!$UOE:$UOE,' UKUPNO IZVORI'!$UXX:$UXX,' UKUPNO IZVORI'!$UYA:$UYA,' UKUPNO IZVORI'!$VHT:$VHT,' UKUPNO IZVORI'!$VHW:$VHW,' UKUPNO IZVORI'!$VRP:$VRP,' UKUPNO IZVORI'!$VRS:$VRS,' UKUPNO IZVORI'!$WBL:$WBL,' UKUPNO IZVORI'!$WBO:$WBO,' UKUPNO IZVORI'!$WLH:$WLH,' UKUPNO IZVORI'!$WLK:$WLK,' UKUPNO IZVORI'!$WVD:$WVD,' UKUPNO IZVORI'!$WVG:$WVG</definedName>
    <definedName name="Z_3EC3B099_A84F_48D2_A97E_B7686AB72BE7_.wvu.Cols" localSheetId="13" hidden="1">'2. razina'!$I:$I</definedName>
    <definedName name="Z_3EC3B099_A84F_48D2_A97E_B7686AB72BE7_.wvu.Cols" localSheetId="12" hidden="1">'HAMAG-BICRO - prihodi (2)'!#REF!,'HAMAG-BICRO - prihodi (2)'!$H:$J</definedName>
    <definedName name="Z_3EC3B099_A84F_48D2_A97E_B7686AB72BE7_.wvu.Cols" localSheetId="10" hidden="1">'HAMAG-BICRO - rashodi'!$D:$E</definedName>
    <definedName name="Z_3EC3B099_A84F_48D2_A97E_B7686AB72BE7_.wvu.Cols" localSheetId="14" hidden="1">HCZP!$D:$D</definedName>
    <definedName name="Z_3EC3B099_A84F_48D2_A97E_B7686AB72BE7_.wvu.PrintArea" localSheetId="4" hidden="1">' AOPT'!$A$1:$H$65</definedName>
    <definedName name="Z_3EC3B099_A84F_48D2_A97E_B7686AB72BE7_.wvu.PrintArea" localSheetId="13" hidden="1">'2. razina'!$A$1:$I$563</definedName>
    <definedName name="Z_3EC3B099_A84F_48D2_A97E_B7686AB72BE7_.wvu.PrintArea" localSheetId="5" hidden="1">AIK!$A$1:$H$113</definedName>
    <definedName name="Z_3EC3B099_A84F_48D2_A97E_B7686AB72BE7_.wvu.PrintArea" localSheetId="6" hidden="1">DZM!$A$1:$H$75</definedName>
    <definedName name="Z_3EC3B099_A84F_48D2_A97E_B7686AB72BE7_.wvu.PrintArea" localSheetId="8" hidden="1">HAA!$A$1:$H$68</definedName>
    <definedName name="Z_3EC3B099_A84F_48D2_A97E_B7686AB72BE7_.wvu.PrintArea" localSheetId="12" hidden="1">'HAMAG-BICRO - prihodi (2)'!$A$1:$G$65</definedName>
    <definedName name="Z_3EC3B099_A84F_48D2_A97E_B7686AB72BE7_.wvu.PrintArea" localSheetId="10" hidden="1">'HAMAG-BICRO - rashodi'!$A$2:$I$339</definedName>
    <definedName name="Z_3EC3B099_A84F_48D2_A97E_B7686AB72BE7_.wvu.PrintArea" localSheetId="11" hidden="1">'HAMAG-BICRO_rashodi (2) '!$A$1:$G$538</definedName>
    <definedName name="Z_3EC3B099_A84F_48D2_A97E_B7686AB72BE7_.wvu.PrintArea" localSheetId="14" hidden="1">HCZP!$A$1:$H$64</definedName>
    <definedName name="Z_3EC3B099_A84F_48D2_A97E_B7686AB72BE7_.wvu.PrintArea" localSheetId="7" hidden="1">HZN!$A$1:$H$72</definedName>
    <definedName name="Z_3EC3B099_A84F_48D2_A97E_B7686AB72BE7_.wvu.PrintArea" localSheetId="2" hidden="1">MINGPO!$A$1:$G$357</definedName>
    <definedName name="Z_3EC3B099_A84F_48D2_A97E_B7686AB72BE7_.wvu.PrintArea" localSheetId="3" hidden="1">ZALIHE!$A$1:$H$126</definedName>
    <definedName name="Z_3EC3B099_A84F_48D2_A97E_B7686AB72BE7_.wvu.PrintTitles" localSheetId="4" hidden="1">' AOPT'!$1:$1</definedName>
    <definedName name="Z_3EC3B099_A84F_48D2_A97E_B7686AB72BE7_.wvu.PrintTitles" localSheetId="5" hidden="1">AIK!$1:$1</definedName>
    <definedName name="Z_3EC3B099_A84F_48D2_A97E_B7686AB72BE7_.wvu.PrintTitles" localSheetId="6" hidden="1">DZM!$1:$1</definedName>
    <definedName name="Z_3EC3B099_A84F_48D2_A97E_B7686AB72BE7_.wvu.PrintTitles" localSheetId="8" hidden="1">HAA!$1:$1</definedName>
    <definedName name="Z_3EC3B099_A84F_48D2_A97E_B7686AB72BE7_.wvu.PrintTitles" localSheetId="12" hidden="1">'HAMAG-BICRO - prihodi (2)'!$2:$4</definedName>
    <definedName name="Z_3EC3B099_A84F_48D2_A97E_B7686AB72BE7_.wvu.PrintTitles" localSheetId="7" hidden="1">HZN!$1:$1</definedName>
    <definedName name="Z_3EC3B099_A84F_48D2_A97E_B7686AB72BE7_.wvu.PrintTitles" localSheetId="2" hidden="1">MINGPO!$1:$1</definedName>
    <definedName name="Z_3EC3B099_A84F_48D2_A97E_B7686AB72BE7_.wvu.PrintTitles" localSheetId="3" hidden="1">ZALIHE!$1:$1</definedName>
    <definedName name="Z_3EC3B099_A84F_48D2_A97E_B7686AB72BE7_.wvu.Rows" localSheetId="13" hidden="1">'2. razina'!$20:$28,'2. razina'!$30:$62,'2. razina'!$64:$66,'2. razina'!$68:$71,'2. razina'!$73:$79,'2. razina'!$82:$84,'2. razina'!$88:$103,'2. razina'!$106:$153,'2. razina'!$156:$159,'2. razina'!$162:$165,'2. razina'!$168:$181,'2. razina'!$185:$188,'2. razina'!$192:$203,'2. razina'!$206:$213,'2. razina'!$215:$235,'2. razina'!$237:$238,'2. razina'!$240:$241,'2. razina'!$243:$244,'2. razina'!$246:$250,'2. razina'!$253:$262,'2. razina'!$264:$267,'2. razina'!$270:$282,'2. razina'!$284:$285,'2. razina'!$288:$289,'2. razina'!$291:$309,'2. razina'!$311:$315,'2. razina'!$318:$324,'2. razina'!$326:$346,'2. razina'!$348:$350,'2. razina'!$355:$373,'2. razina'!$377:$421,'2. razina'!$424:$427,'2. razina'!$430:$433,'2. razina'!$436:$437,'2. razina'!$439:$440,'2. razina'!$443:$450,'2. razina'!$452:$464,'2. razina'!$466:$467,'2. razina'!$471:$478,'2. razina'!$482:$489,'2. razina'!$492:$493,'2. razina'!$496:$501,'2. razina'!$503:$515,'2. razina'!$517:$518,'2. razina'!$520:$523,'2. razina'!$527:$536,'2. razina'!$540:$555,'2. razina'!$558:$583,'2. razina'!$586:$589,'2. razina'!$592:$603</definedName>
    <definedName name="Z_3EC3B099_A84F_48D2_A97E_B7686AB72BE7_.wvu.Rows" localSheetId="12" hidden="1">'HAMAG-BICRO - prihodi (2)'!$72:$82</definedName>
    <definedName name="Z_3EC3B099_A84F_48D2_A97E_B7686AB72BE7_.wvu.Rows" localSheetId="10" hidden="1">'HAMAG-BICRO - rashodi'!$74:$80</definedName>
    <definedName name="Z_3EC3B099_A84F_48D2_A97E_B7686AB72BE7_.wvu.Rows" localSheetId="2" hidden="1">MINGPO!$235:$237,MINGPO!$271:$271,MINGPO!$273:$273,MINGPO!$278:$278,MINGPO!$282:$282,MINGPO!$286:$286</definedName>
    <definedName name="Z_4FFB33FE_6696_4144_BF99_378C5196B940_.wvu.Cols" localSheetId="1" hidden="1">' UKUPNO IZVORI'!$D:$D,' UKUPNO IZVORI'!$IR:$IR,' UKUPNO IZVORI'!$IU:$IU,' UKUPNO IZVORI'!$SN:$SN,' UKUPNO IZVORI'!$SQ:$SQ,' UKUPNO IZVORI'!$ACJ:$ACJ,' UKUPNO IZVORI'!$ACM:$ACM,' UKUPNO IZVORI'!$AMF:$AMF,' UKUPNO IZVORI'!$AMI:$AMI,' UKUPNO IZVORI'!$AWB:$AWB,' UKUPNO IZVORI'!$AWE:$AWE,' UKUPNO IZVORI'!$BFX:$BFX,' UKUPNO IZVORI'!$BGA:$BGA,' UKUPNO IZVORI'!$BPT:$BPT,' UKUPNO IZVORI'!$BPW:$BPW,' UKUPNO IZVORI'!$BZP:$BZP,' UKUPNO IZVORI'!$BZS:$BZS,' UKUPNO IZVORI'!$CJL:$CJL,' UKUPNO IZVORI'!$CJO:$CJO,' UKUPNO IZVORI'!$CTH:$CTH,' UKUPNO IZVORI'!$CTK:$CTK,' UKUPNO IZVORI'!$DDD:$DDD,' UKUPNO IZVORI'!$DDG:$DDG,' UKUPNO IZVORI'!$DMZ:$DMZ,' UKUPNO IZVORI'!$DNC:$DNC,' UKUPNO IZVORI'!$DWV:$DWV,' UKUPNO IZVORI'!$DWY:$DWY,' UKUPNO IZVORI'!$EGR:$EGR,' UKUPNO IZVORI'!$EGU:$EGU,' UKUPNO IZVORI'!$EQN:$EQN,' UKUPNO IZVORI'!$EQQ:$EQQ,' UKUPNO IZVORI'!$FAJ:$FAJ,' UKUPNO IZVORI'!$FAM:$FAM,' UKUPNO IZVORI'!$FKF:$FKF,' UKUPNO IZVORI'!$FKI:$FKI,' UKUPNO IZVORI'!$FUB:$FUB,' UKUPNO IZVORI'!$FUE:$FUE,' UKUPNO IZVORI'!$GDX:$GDX,' UKUPNO IZVORI'!$GEA:$GEA,' UKUPNO IZVORI'!$GNT:$GNT,' UKUPNO IZVORI'!$GNW:$GNW,' UKUPNO IZVORI'!$GXP:$GXP,' UKUPNO IZVORI'!$GXS:$GXS,' UKUPNO IZVORI'!$HHL:$HHL,' UKUPNO IZVORI'!$HHO:$HHO,' UKUPNO IZVORI'!$HRH:$HRH,' UKUPNO IZVORI'!$HRK:$HRK,' UKUPNO IZVORI'!$IBD:$IBD,' UKUPNO IZVORI'!$IBG:$IBG,' UKUPNO IZVORI'!$IKZ:$IKZ,' UKUPNO IZVORI'!$ILC:$ILC,' UKUPNO IZVORI'!$IUV:$IUV,' UKUPNO IZVORI'!$IUY:$IUY,' UKUPNO IZVORI'!$JER:$JER,' UKUPNO IZVORI'!$JEU:$JEU,' UKUPNO IZVORI'!$JON:$JON,' UKUPNO IZVORI'!$JOQ:$JOQ,' UKUPNO IZVORI'!$JYJ:$JYJ,' UKUPNO IZVORI'!$JYM:$JYM,' UKUPNO IZVORI'!$KIF:$KIF,' UKUPNO IZVORI'!$KII:$KII,' UKUPNO IZVORI'!$KSB:$KSB,' UKUPNO IZVORI'!$KSE:$KSE,' UKUPNO IZVORI'!$LBX:$LBX,' UKUPNO IZVORI'!$LCA:$LCA,' UKUPNO IZVORI'!$LLT:$LLT,' UKUPNO IZVORI'!$LLW:$LLW,' UKUPNO IZVORI'!$LVP:$LVP,' UKUPNO IZVORI'!$LVS:$LVS,' UKUPNO IZVORI'!$MFL:$MFL,' UKUPNO IZVORI'!$MFO:$MFO,' UKUPNO IZVORI'!$MPH:$MPH,' UKUPNO IZVORI'!$MPK:$MPK,' UKUPNO IZVORI'!$MZD:$MZD,' UKUPNO IZVORI'!$MZG:$MZG,' UKUPNO IZVORI'!$NIZ:$NIZ,' UKUPNO IZVORI'!$NJC:$NJC,' UKUPNO IZVORI'!$NSV:$NSV,' UKUPNO IZVORI'!$NSY:$NSY,' UKUPNO IZVORI'!$OCR:$OCR,' UKUPNO IZVORI'!$OCU:$OCU,' UKUPNO IZVORI'!$OMN:$OMN,' UKUPNO IZVORI'!$OMQ:$OMQ,' UKUPNO IZVORI'!$OWJ:$OWJ,' UKUPNO IZVORI'!$OWM:$OWM,' UKUPNO IZVORI'!$PGF:$PGF,' UKUPNO IZVORI'!$PGI:$PGI,' UKUPNO IZVORI'!$PQB:$PQB,' UKUPNO IZVORI'!$PQE:$PQE,' UKUPNO IZVORI'!$PZX:$PZX,' UKUPNO IZVORI'!$QAA:$QAA,' UKUPNO IZVORI'!$QJT:$QJT,' UKUPNO IZVORI'!$QJW:$QJW,' UKUPNO IZVORI'!$QTP:$QTP,' UKUPNO IZVORI'!$QTS:$QTS,' UKUPNO IZVORI'!$RDL:$RDL,' UKUPNO IZVORI'!$RDO:$RDO,' UKUPNO IZVORI'!$RNH:$RNH,' UKUPNO IZVORI'!$RNK:$RNK,' UKUPNO IZVORI'!$RXD:$RXD,' UKUPNO IZVORI'!$RXG:$RXG,' UKUPNO IZVORI'!$SGZ:$SGZ,' UKUPNO IZVORI'!$SHC:$SHC,' UKUPNO IZVORI'!$SQV:$SQV,' UKUPNO IZVORI'!$SQY:$SQY,' UKUPNO IZVORI'!$TAR:$TAR,' UKUPNO IZVORI'!$TAU:$TAU,' UKUPNO IZVORI'!$TKN:$TKN,' UKUPNO IZVORI'!$TKQ:$TKQ,' UKUPNO IZVORI'!$TUJ:$TUJ,' UKUPNO IZVORI'!$TUM:$TUM,' UKUPNO IZVORI'!$UEF:$UEF,' UKUPNO IZVORI'!$UEI:$UEI,' UKUPNO IZVORI'!$UOB:$UOB,' UKUPNO IZVORI'!$UOE:$UOE,' UKUPNO IZVORI'!$UXX:$UXX,' UKUPNO IZVORI'!$UYA:$UYA,' UKUPNO IZVORI'!$VHT:$VHT,' UKUPNO IZVORI'!$VHW:$VHW,' UKUPNO IZVORI'!$VRP:$VRP,' UKUPNO IZVORI'!$VRS:$VRS,' UKUPNO IZVORI'!$WBL:$WBL,' UKUPNO IZVORI'!$WBO:$WBO,' UKUPNO IZVORI'!$WLH:$WLH,' UKUPNO IZVORI'!$WLK:$WLK,' UKUPNO IZVORI'!$WVD:$WVD,' UKUPNO IZVORI'!$WVG:$WVG</definedName>
    <definedName name="Z_4FFB33FE_6696_4144_BF99_378C5196B940_.wvu.Cols" localSheetId="13" hidden="1">'2. razina'!$I:$I</definedName>
    <definedName name="Z_4FFB33FE_6696_4144_BF99_378C5196B940_.wvu.Cols" localSheetId="12" hidden="1">'HAMAG-BICRO - prihodi (2)'!#REF!,'HAMAG-BICRO - prihodi (2)'!$H:$J</definedName>
    <definedName name="Z_4FFB33FE_6696_4144_BF99_378C5196B940_.wvu.Cols" localSheetId="10" hidden="1">'HAMAG-BICRO - rashodi'!$D:$E</definedName>
    <definedName name="Z_4FFB33FE_6696_4144_BF99_378C5196B940_.wvu.Cols" localSheetId="14" hidden="1">HCZP!$D:$D</definedName>
    <definedName name="Z_4FFB33FE_6696_4144_BF99_378C5196B940_.wvu.PrintArea" localSheetId="4" hidden="1">' AOPT'!$A$1:$H$65</definedName>
    <definedName name="Z_4FFB33FE_6696_4144_BF99_378C5196B940_.wvu.PrintArea" localSheetId="13" hidden="1">'2. razina'!$A$1:$I$563</definedName>
    <definedName name="Z_4FFB33FE_6696_4144_BF99_378C5196B940_.wvu.PrintArea" localSheetId="5" hidden="1">AIK!$A$1:$H$113</definedName>
    <definedName name="Z_4FFB33FE_6696_4144_BF99_378C5196B940_.wvu.PrintArea" localSheetId="6" hidden="1">DZM!$A$1:$H$75</definedName>
    <definedName name="Z_4FFB33FE_6696_4144_BF99_378C5196B940_.wvu.PrintArea" localSheetId="8" hidden="1">HAA!$A$1:$H$68</definedName>
    <definedName name="Z_4FFB33FE_6696_4144_BF99_378C5196B940_.wvu.PrintArea" localSheetId="12" hidden="1">'HAMAG-BICRO - prihodi (2)'!$A$1:$G$65</definedName>
    <definedName name="Z_4FFB33FE_6696_4144_BF99_378C5196B940_.wvu.PrintArea" localSheetId="10" hidden="1">'HAMAG-BICRO - rashodi'!$A$2:$I$339</definedName>
    <definedName name="Z_4FFB33FE_6696_4144_BF99_378C5196B940_.wvu.PrintArea" localSheetId="11" hidden="1">'HAMAG-BICRO_rashodi (2) '!$A$1:$G$538</definedName>
    <definedName name="Z_4FFB33FE_6696_4144_BF99_378C5196B940_.wvu.PrintArea" localSheetId="14" hidden="1">HCZP!$A$1:$H$64</definedName>
    <definedName name="Z_4FFB33FE_6696_4144_BF99_378C5196B940_.wvu.PrintArea" localSheetId="7" hidden="1">HZN!$A$1:$H$72</definedName>
    <definedName name="Z_4FFB33FE_6696_4144_BF99_378C5196B940_.wvu.PrintArea" localSheetId="2" hidden="1">MINGPO!$A$1:$G$357</definedName>
    <definedName name="Z_4FFB33FE_6696_4144_BF99_378C5196B940_.wvu.PrintArea" localSheetId="3" hidden="1">ZALIHE!$A$1:$H$126</definedName>
    <definedName name="Z_4FFB33FE_6696_4144_BF99_378C5196B940_.wvu.PrintTitles" localSheetId="4" hidden="1">' AOPT'!$1:$1</definedName>
    <definedName name="Z_4FFB33FE_6696_4144_BF99_378C5196B940_.wvu.PrintTitles" localSheetId="5" hidden="1">AIK!$1:$1</definedName>
    <definedName name="Z_4FFB33FE_6696_4144_BF99_378C5196B940_.wvu.PrintTitles" localSheetId="6" hidden="1">DZM!$1:$1</definedName>
    <definedName name="Z_4FFB33FE_6696_4144_BF99_378C5196B940_.wvu.PrintTitles" localSheetId="8" hidden="1">HAA!$1:$1</definedName>
    <definedName name="Z_4FFB33FE_6696_4144_BF99_378C5196B940_.wvu.PrintTitles" localSheetId="12" hidden="1">'HAMAG-BICRO - prihodi (2)'!$2:$4</definedName>
    <definedName name="Z_4FFB33FE_6696_4144_BF99_378C5196B940_.wvu.PrintTitles" localSheetId="7" hidden="1">HZN!$1:$1</definedName>
    <definedName name="Z_4FFB33FE_6696_4144_BF99_378C5196B940_.wvu.PrintTitles" localSheetId="2" hidden="1">MINGPO!$1:$1</definedName>
    <definedName name="Z_4FFB33FE_6696_4144_BF99_378C5196B940_.wvu.PrintTitles" localSheetId="3" hidden="1">ZALIHE!$1:$1</definedName>
    <definedName name="Z_4FFB33FE_6696_4144_BF99_378C5196B940_.wvu.Rows" localSheetId="13" hidden="1">'2. razina'!$20:$28,'2. razina'!$30:$62,'2. razina'!$64:$66,'2. razina'!$68:$71,'2. razina'!$73:$79,'2. razina'!$82:$84,'2. razina'!$88:$103,'2. razina'!$106:$153,'2. razina'!$156:$159,'2. razina'!$162:$165,'2. razina'!$168:$181,'2. razina'!$185:$188,'2. razina'!$192:$203,'2. razina'!$206:$213,'2. razina'!$215:$235,'2. razina'!$237:$238,'2. razina'!$240:$241,'2. razina'!$243:$244,'2. razina'!$246:$250,'2. razina'!$253:$262,'2. razina'!$264:$267,'2. razina'!$270:$282,'2. razina'!$284:$285,'2. razina'!$288:$289,'2. razina'!$291:$309,'2. razina'!$311:$315,'2. razina'!$318:$324,'2. razina'!$326:$346,'2. razina'!$348:$350,'2. razina'!$355:$373,'2. razina'!$377:$421,'2. razina'!$424:$427,'2. razina'!$430:$433,'2. razina'!$436:$437,'2. razina'!$439:$440,'2. razina'!$443:$450,'2. razina'!$452:$464,'2. razina'!$466:$467,'2. razina'!$471:$478,'2. razina'!$482:$489,'2. razina'!$492:$493,'2. razina'!$496:$501,'2. razina'!$503:$515,'2. razina'!$517:$518,'2. razina'!$520:$523,'2. razina'!$527:$536,'2. razina'!$540:$555,'2. razina'!$558:$583,'2. razina'!$586:$589,'2. razina'!$592:$603</definedName>
    <definedName name="Z_4FFB33FE_6696_4144_BF99_378C5196B940_.wvu.Rows" localSheetId="12" hidden="1">'HAMAG-BICRO - prihodi (2)'!$72:$82</definedName>
    <definedName name="Z_4FFB33FE_6696_4144_BF99_378C5196B940_.wvu.Rows" localSheetId="10" hidden="1">'HAMAG-BICRO - rashodi'!$74:$80</definedName>
    <definedName name="Z_4FFB33FE_6696_4144_BF99_378C5196B940_.wvu.Rows" localSheetId="2" hidden="1">MINGPO!$235:$237,MINGPO!$271:$271,MINGPO!$273:$273,MINGPO!$278:$278,MINGPO!$282:$282,MINGPO!$286:$286</definedName>
    <definedName name="Z_5251AB89_31D9_4C6C_945A_13C9748C2E26_.wvu.Cols" localSheetId="1" hidden="1">' UKUPNO IZVORI'!$D:$D,' UKUPNO IZVORI'!$IR:$IR,' UKUPNO IZVORI'!$IU:$IU,' UKUPNO IZVORI'!$SN:$SN,' UKUPNO IZVORI'!$SQ:$SQ,' UKUPNO IZVORI'!$ACJ:$ACJ,' UKUPNO IZVORI'!$ACM:$ACM,' UKUPNO IZVORI'!$AMF:$AMF,' UKUPNO IZVORI'!$AMI:$AMI,' UKUPNO IZVORI'!$AWB:$AWB,' UKUPNO IZVORI'!$AWE:$AWE,' UKUPNO IZVORI'!$BFX:$BFX,' UKUPNO IZVORI'!$BGA:$BGA,' UKUPNO IZVORI'!$BPT:$BPT,' UKUPNO IZVORI'!$BPW:$BPW,' UKUPNO IZVORI'!$BZP:$BZP,' UKUPNO IZVORI'!$BZS:$BZS,' UKUPNO IZVORI'!$CJL:$CJL,' UKUPNO IZVORI'!$CJO:$CJO,' UKUPNO IZVORI'!$CTH:$CTH,' UKUPNO IZVORI'!$CTK:$CTK,' UKUPNO IZVORI'!$DDD:$DDD,' UKUPNO IZVORI'!$DDG:$DDG,' UKUPNO IZVORI'!$DMZ:$DMZ,' UKUPNO IZVORI'!$DNC:$DNC,' UKUPNO IZVORI'!$DWV:$DWV,' UKUPNO IZVORI'!$DWY:$DWY,' UKUPNO IZVORI'!$EGR:$EGR,' UKUPNO IZVORI'!$EGU:$EGU,' UKUPNO IZVORI'!$EQN:$EQN,' UKUPNO IZVORI'!$EQQ:$EQQ,' UKUPNO IZVORI'!$FAJ:$FAJ,' UKUPNO IZVORI'!$FAM:$FAM,' UKUPNO IZVORI'!$FKF:$FKF,' UKUPNO IZVORI'!$FKI:$FKI,' UKUPNO IZVORI'!$FUB:$FUB,' UKUPNO IZVORI'!$FUE:$FUE,' UKUPNO IZVORI'!$GDX:$GDX,' UKUPNO IZVORI'!$GEA:$GEA,' UKUPNO IZVORI'!$GNT:$GNT,' UKUPNO IZVORI'!$GNW:$GNW,' UKUPNO IZVORI'!$GXP:$GXP,' UKUPNO IZVORI'!$GXS:$GXS,' UKUPNO IZVORI'!$HHL:$HHL,' UKUPNO IZVORI'!$HHO:$HHO,' UKUPNO IZVORI'!$HRH:$HRH,' UKUPNO IZVORI'!$HRK:$HRK,' UKUPNO IZVORI'!$IBD:$IBD,' UKUPNO IZVORI'!$IBG:$IBG,' UKUPNO IZVORI'!$IKZ:$IKZ,' UKUPNO IZVORI'!$ILC:$ILC,' UKUPNO IZVORI'!$IUV:$IUV,' UKUPNO IZVORI'!$IUY:$IUY,' UKUPNO IZVORI'!$JER:$JER,' UKUPNO IZVORI'!$JEU:$JEU,' UKUPNO IZVORI'!$JON:$JON,' UKUPNO IZVORI'!$JOQ:$JOQ,' UKUPNO IZVORI'!$JYJ:$JYJ,' UKUPNO IZVORI'!$JYM:$JYM,' UKUPNO IZVORI'!$KIF:$KIF,' UKUPNO IZVORI'!$KII:$KII,' UKUPNO IZVORI'!$KSB:$KSB,' UKUPNO IZVORI'!$KSE:$KSE,' UKUPNO IZVORI'!$LBX:$LBX,' UKUPNO IZVORI'!$LCA:$LCA,' UKUPNO IZVORI'!$LLT:$LLT,' UKUPNO IZVORI'!$LLW:$LLW,' UKUPNO IZVORI'!$LVP:$LVP,' UKUPNO IZVORI'!$LVS:$LVS,' UKUPNO IZVORI'!$MFL:$MFL,' UKUPNO IZVORI'!$MFO:$MFO,' UKUPNO IZVORI'!$MPH:$MPH,' UKUPNO IZVORI'!$MPK:$MPK,' UKUPNO IZVORI'!$MZD:$MZD,' UKUPNO IZVORI'!$MZG:$MZG,' UKUPNO IZVORI'!$NIZ:$NIZ,' UKUPNO IZVORI'!$NJC:$NJC,' UKUPNO IZVORI'!$NSV:$NSV,' UKUPNO IZVORI'!$NSY:$NSY,' UKUPNO IZVORI'!$OCR:$OCR,' UKUPNO IZVORI'!$OCU:$OCU,' UKUPNO IZVORI'!$OMN:$OMN,' UKUPNO IZVORI'!$OMQ:$OMQ,' UKUPNO IZVORI'!$OWJ:$OWJ,' UKUPNO IZVORI'!$OWM:$OWM,' UKUPNO IZVORI'!$PGF:$PGF,' UKUPNO IZVORI'!$PGI:$PGI,' UKUPNO IZVORI'!$PQB:$PQB,' UKUPNO IZVORI'!$PQE:$PQE,' UKUPNO IZVORI'!$PZX:$PZX,' UKUPNO IZVORI'!$QAA:$QAA,' UKUPNO IZVORI'!$QJT:$QJT,' UKUPNO IZVORI'!$QJW:$QJW,' UKUPNO IZVORI'!$QTP:$QTP,' UKUPNO IZVORI'!$QTS:$QTS,' UKUPNO IZVORI'!$RDL:$RDL,' UKUPNO IZVORI'!$RDO:$RDO,' UKUPNO IZVORI'!$RNH:$RNH,' UKUPNO IZVORI'!$RNK:$RNK,' UKUPNO IZVORI'!$RXD:$RXD,' UKUPNO IZVORI'!$RXG:$RXG,' UKUPNO IZVORI'!$SGZ:$SGZ,' UKUPNO IZVORI'!$SHC:$SHC,' UKUPNO IZVORI'!$SQV:$SQV,' UKUPNO IZVORI'!$SQY:$SQY,' UKUPNO IZVORI'!$TAR:$TAR,' UKUPNO IZVORI'!$TAU:$TAU,' UKUPNO IZVORI'!$TKN:$TKN,' UKUPNO IZVORI'!$TKQ:$TKQ,' UKUPNO IZVORI'!$TUJ:$TUJ,' UKUPNO IZVORI'!$TUM:$TUM,' UKUPNO IZVORI'!$UEF:$UEF,' UKUPNO IZVORI'!$UEI:$UEI,' UKUPNO IZVORI'!$UOB:$UOB,' UKUPNO IZVORI'!$UOE:$UOE,' UKUPNO IZVORI'!$UXX:$UXX,' UKUPNO IZVORI'!$UYA:$UYA,' UKUPNO IZVORI'!$VHT:$VHT,' UKUPNO IZVORI'!$VHW:$VHW,' UKUPNO IZVORI'!$VRP:$VRP,' UKUPNO IZVORI'!$VRS:$VRS,' UKUPNO IZVORI'!$WBL:$WBL,' UKUPNO IZVORI'!$WBO:$WBO,' UKUPNO IZVORI'!$WLH:$WLH,' UKUPNO IZVORI'!$WLK:$WLK,' UKUPNO IZVORI'!$WVD:$WVD,' UKUPNO IZVORI'!$WVG:$WVG</definedName>
    <definedName name="Z_5251AB89_31D9_4C6C_945A_13C9748C2E26_.wvu.Cols" localSheetId="13" hidden="1">'2. razina'!$I:$I</definedName>
    <definedName name="Z_5251AB89_31D9_4C6C_945A_13C9748C2E26_.wvu.Cols" localSheetId="12" hidden="1">'HAMAG-BICRO - prihodi (2)'!#REF!,'HAMAG-BICRO - prihodi (2)'!$H:$J</definedName>
    <definedName name="Z_5251AB89_31D9_4C6C_945A_13C9748C2E26_.wvu.Cols" localSheetId="10" hidden="1">'HAMAG-BICRO - rashodi'!$D:$E</definedName>
    <definedName name="Z_5251AB89_31D9_4C6C_945A_13C9748C2E26_.wvu.Cols" localSheetId="14" hidden="1">HCZP!$D:$D</definedName>
    <definedName name="Z_5251AB89_31D9_4C6C_945A_13C9748C2E26_.wvu.PrintArea" localSheetId="4" hidden="1">' AOPT'!$A$1:$H$65</definedName>
    <definedName name="Z_5251AB89_31D9_4C6C_945A_13C9748C2E26_.wvu.PrintArea" localSheetId="13" hidden="1">'2. razina'!$A$1:$I$563</definedName>
    <definedName name="Z_5251AB89_31D9_4C6C_945A_13C9748C2E26_.wvu.PrintArea" localSheetId="5" hidden="1">AIK!$A$1:$H$113</definedName>
    <definedName name="Z_5251AB89_31D9_4C6C_945A_13C9748C2E26_.wvu.PrintArea" localSheetId="6" hidden="1">DZM!$A$1:$H$75</definedName>
    <definedName name="Z_5251AB89_31D9_4C6C_945A_13C9748C2E26_.wvu.PrintArea" localSheetId="8" hidden="1">HAA!$A$1:$H$68</definedName>
    <definedName name="Z_5251AB89_31D9_4C6C_945A_13C9748C2E26_.wvu.PrintArea" localSheetId="12" hidden="1">'HAMAG-BICRO - prihodi (2)'!$A$1:$G$65</definedName>
    <definedName name="Z_5251AB89_31D9_4C6C_945A_13C9748C2E26_.wvu.PrintArea" localSheetId="10" hidden="1">'HAMAG-BICRO - rashodi'!$A$2:$I$339</definedName>
    <definedName name="Z_5251AB89_31D9_4C6C_945A_13C9748C2E26_.wvu.PrintArea" localSheetId="11" hidden="1">'HAMAG-BICRO_rashodi (2) '!$A$1:$G$538</definedName>
    <definedName name="Z_5251AB89_31D9_4C6C_945A_13C9748C2E26_.wvu.PrintArea" localSheetId="14" hidden="1">HCZP!$A$1:$H$64</definedName>
    <definedName name="Z_5251AB89_31D9_4C6C_945A_13C9748C2E26_.wvu.PrintArea" localSheetId="7" hidden="1">HZN!$A$1:$H$72</definedName>
    <definedName name="Z_5251AB89_31D9_4C6C_945A_13C9748C2E26_.wvu.PrintArea" localSheetId="2" hidden="1">MINGPO!$A$1:$G$357</definedName>
    <definedName name="Z_5251AB89_31D9_4C6C_945A_13C9748C2E26_.wvu.PrintArea" localSheetId="3" hidden="1">ZALIHE!$A$1:$H$126</definedName>
    <definedName name="Z_5251AB89_31D9_4C6C_945A_13C9748C2E26_.wvu.PrintTitles" localSheetId="4" hidden="1">' AOPT'!$1:$1</definedName>
    <definedName name="Z_5251AB89_31D9_4C6C_945A_13C9748C2E26_.wvu.PrintTitles" localSheetId="5" hidden="1">AIK!$1:$1</definedName>
    <definedName name="Z_5251AB89_31D9_4C6C_945A_13C9748C2E26_.wvu.PrintTitles" localSheetId="6" hidden="1">DZM!$1:$1</definedName>
    <definedName name="Z_5251AB89_31D9_4C6C_945A_13C9748C2E26_.wvu.PrintTitles" localSheetId="8" hidden="1">HAA!$1:$1</definedName>
    <definedName name="Z_5251AB89_31D9_4C6C_945A_13C9748C2E26_.wvu.PrintTitles" localSheetId="12" hidden="1">'HAMAG-BICRO - prihodi (2)'!$2:$4</definedName>
    <definedName name="Z_5251AB89_31D9_4C6C_945A_13C9748C2E26_.wvu.PrintTitles" localSheetId="7" hidden="1">HZN!$1:$1</definedName>
    <definedName name="Z_5251AB89_31D9_4C6C_945A_13C9748C2E26_.wvu.PrintTitles" localSheetId="2" hidden="1">MINGPO!$1:$1</definedName>
    <definedName name="Z_5251AB89_31D9_4C6C_945A_13C9748C2E26_.wvu.PrintTitles" localSheetId="3" hidden="1">ZALIHE!$1:$1</definedName>
    <definedName name="Z_5251AB89_31D9_4C6C_945A_13C9748C2E26_.wvu.Rows" localSheetId="13" hidden="1">'2. razina'!$20:$28,'2. razina'!$30:$62,'2. razina'!$64:$66,'2. razina'!$68:$71,'2. razina'!$73:$79,'2. razina'!$82:$84,'2. razina'!$88:$103,'2. razina'!$106:$153,'2. razina'!$156:$159,'2. razina'!$162:$165,'2. razina'!$168:$181,'2. razina'!$185:$188,'2. razina'!$192:$203,'2. razina'!$206:$213,'2. razina'!$215:$235,'2. razina'!$237:$238,'2. razina'!$240:$241,'2. razina'!$243:$244,'2. razina'!$246:$250,'2. razina'!$253:$262,'2. razina'!$264:$267,'2. razina'!$270:$282,'2. razina'!$284:$285,'2. razina'!$288:$289,'2. razina'!$291:$309,'2. razina'!$311:$315,'2. razina'!$318:$324,'2. razina'!$326:$346,'2. razina'!$348:$350,'2. razina'!$355:$373,'2. razina'!$377:$421,'2. razina'!$424:$427,'2. razina'!$430:$433,'2. razina'!$436:$437,'2. razina'!$439:$440,'2. razina'!$443:$450,'2. razina'!$452:$464,'2. razina'!$466:$467,'2. razina'!$471:$478,'2. razina'!$482:$489,'2. razina'!$492:$493,'2. razina'!$496:$501,'2. razina'!$503:$515,'2. razina'!$517:$518,'2. razina'!$520:$523,'2. razina'!$527:$536,'2. razina'!$540:$555,'2. razina'!$558:$583,'2. razina'!$586:$589,'2. razina'!$592:$603</definedName>
    <definedName name="Z_5251AB89_31D9_4C6C_945A_13C9748C2E26_.wvu.Rows" localSheetId="12" hidden="1">'HAMAG-BICRO - prihodi (2)'!$72:$82</definedName>
    <definedName name="Z_5251AB89_31D9_4C6C_945A_13C9748C2E26_.wvu.Rows" localSheetId="10" hidden="1">'HAMAG-BICRO - rashodi'!$74:$80</definedName>
    <definedName name="Z_5251AB89_31D9_4C6C_945A_13C9748C2E26_.wvu.Rows" localSheetId="2" hidden="1">MINGPO!$235:$237,MINGPO!$271:$271,MINGPO!$273:$273,MINGPO!$278:$278,MINGPO!$282:$282,MINGPO!$286:$286</definedName>
    <definedName name="Z_D0F51479_7B68_4FFC_8604_F0A17468B00E_.wvu.Cols" localSheetId="1" hidden="1">' UKUPNO IZVORI'!$D:$D,' UKUPNO IZVORI'!$IR:$IR,' UKUPNO IZVORI'!$IU:$IU,' UKUPNO IZVORI'!$SN:$SN,' UKUPNO IZVORI'!$SQ:$SQ,' UKUPNO IZVORI'!$ACJ:$ACJ,' UKUPNO IZVORI'!$ACM:$ACM,' UKUPNO IZVORI'!$AMF:$AMF,' UKUPNO IZVORI'!$AMI:$AMI,' UKUPNO IZVORI'!$AWB:$AWB,' UKUPNO IZVORI'!$AWE:$AWE,' UKUPNO IZVORI'!$BFX:$BFX,' UKUPNO IZVORI'!$BGA:$BGA,' UKUPNO IZVORI'!$BPT:$BPT,' UKUPNO IZVORI'!$BPW:$BPW,' UKUPNO IZVORI'!$BZP:$BZP,' UKUPNO IZVORI'!$BZS:$BZS,' UKUPNO IZVORI'!$CJL:$CJL,' UKUPNO IZVORI'!$CJO:$CJO,' UKUPNO IZVORI'!$CTH:$CTH,' UKUPNO IZVORI'!$CTK:$CTK,' UKUPNO IZVORI'!$DDD:$DDD,' UKUPNO IZVORI'!$DDG:$DDG,' UKUPNO IZVORI'!$DMZ:$DMZ,' UKUPNO IZVORI'!$DNC:$DNC,' UKUPNO IZVORI'!$DWV:$DWV,' UKUPNO IZVORI'!$DWY:$DWY,' UKUPNO IZVORI'!$EGR:$EGR,' UKUPNO IZVORI'!$EGU:$EGU,' UKUPNO IZVORI'!$EQN:$EQN,' UKUPNO IZVORI'!$EQQ:$EQQ,' UKUPNO IZVORI'!$FAJ:$FAJ,' UKUPNO IZVORI'!$FAM:$FAM,' UKUPNO IZVORI'!$FKF:$FKF,' UKUPNO IZVORI'!$FKI:$FKI,' UKUPNO IZVORI'!$FUB:$FUB,' UKUPNO IZVORI'!$FUE:$FUE,' UKUPNO IZVORI'!$GDX:$GDX,' UKUPNO IZVORI'!$GEA:$GEA,' UKUPNO IZVORI'!$GNT:$GNT,' UKUPNO IZVORI'!$GNW:$GNW,' UKUPNO IZVORI'!$GXP:$GXP,' UKUPNO IZVORI'!$GXS:$GXS,' UKUPNO IZVORI'!$HHL:$HHL,' UKUPNO IZVORI'!$HHO:$HHO,' UKUPNO IZVORI'!$HRH:$HRH,' UKUPNO IZVORI'!$HRK:$HRK,' UKUPNO IZVORI'!$IBD:$IBD,' UKUPNO IZVORI'!$IBG:$IBG,' UKUPNO IZVORI'!$IKZ:$IKZ,' UKUPNO IZVORI'!$ILC:$ILC,' UKUPNO IZVORI'!$IUV:$IUV,' UKUPNO IZVORI'!$IUY:$IUY,' UKUPNO IZVORI'!$JER:$JER,' UKUPNO IZVORI'!$JEU:$JEU,' UKUPNO IZVORI'!$JON:$JON,' UKUPNO IZVORI'!$JOQ:$JOQ,' UKUPNO IZVORI'!$JYJ:$JYJ,' UKUPNO IZVORI'!$JYM:$JYM,' UKUPNO IZVORI'!$KIF:$KIF,' UKUPNO IZVORI'!$KII:$KII,' UKUPNO IZVORI'!$KSB:$KSB,' UKUPNO IZVORI'!$KSE:$KSE,' UKUPNO IZVORI'!$LBX:$LBX,' UKUPNO IZVORI'!$LCA:$LCA,' UKUPNO IZVORI'!$LLT:$LLT,' UKUPNO IZVORI'!$LLW:$LLW,' UKUPNO IZVORI'!$LVP:$LVP,' UKUPNO IZVORI'!$LVS:$LVS,' UKUPNO IZVORI'!$MFL:$MFL,' UKUPNO IZVORI'!$MFO:$MFO,' UKUPNO IZVORI'!$MPH:$MPH,' UKUPNO IZVORI'!$MPK:$MPK,' UKUPNO IZVORI'!$MZD:$MZD,' UKUPNO IZVORI'!$MZG:$MZG,' UKUPNO IZVORI'!$NIZ:$NIZ,' UKUPNO IZVORI'!$NJC:$NJC,' UKUPNO IZVORI'!$NSV:$NSV,' UKUPNO IZVORI'!$NSY:$NSY,' UKUPNO IZVORI'!$OCR:$OCR,' UKUPNO IZVORI'!$OCU:$OCU,' UKUPNO IZVORI'!$OMN:$OMN,' UKUPNO IZVORI'!$OMQ:$OMQ,' UKUPNO IZVORI'!$OWJ:$OWJ,' UKUPNO IZVORI'!$OWM:$OWM,' UKUPNO IZVORI'!$PGF:$PGF,' UKUPNO IZVORI'!$PGI:$PGI,' UKUPNO IZVORI'!$PQB:$PQB,' UKUPNO IZVORI'!$PQE:$PQE,' UKUPNO IZVORI'!$PZX:$PZX,' UKUPNO IZVORI'!$QAA:$QAA,' UKUPNO IZVORI'!$QJT:$QJT,' UKUPNO IZVORI'!$QJW:$QJW,' UKUPNO IZVORI'!$QTP:$QTP,' UKUPNO IZVORI'!$QTS:$QTS,' UKUPNO IZVORI'!$RDL:$RDL,' UKUPNO IZVORI'!$RDO:$RDO,' UKUPNO IZVORI'!$RNH:$RNH,' UKUPNO IZVORI'!$RNK:$RNK,' UKUPNO IZVORI'!$RXD:$RXD,' UKUPNO IZVORI'!$RXG:$RXG,' UKUPNO IZVORI'!$SGZ:$SGZ,' UKUPNO IZVORI'!$SHC:$SHC,' UKUPNO IZVORI'!$SQV:$SQV,' UKUPNO IZVORI'!$SQY:$SQY,' UKUPNO IZVORI'!$TAR:$TAR,' UKUPNO IZVORI'!$TAU:$TAU,' UKUPNO IZVORI'!$TKN:$TKN,' UKUPNO IZVORI'!$TKQ:$TKQ,' UKUPNO IZVORI'!$TUJ:$TUJ,' UKUPNO IZVORI'!$TUM:$TUM,' UKUPNO IZVORI'!$UEF:$UEF,' UKUPNO IZVORI'!$UEI:$UEI,' UKUPNO IZVORI'!$UOB:$UOB,' UKUPNO IZVORI'!$UOE:$UOE,' UKUPNO IZVORI'!$UXX:$UXX,' UKUPNO IZVORI'!$UYA:$UYA,' UKUPNO IZVORI'!$VHT:$VHT,' UKUPNO IZVORI'!$VHW:$VHW,' UKUPNO IZVORI'!$VRP:$VRP,' UKUPNO IZVORI'!$VRS:$VRS,' UKUPNO IZVORI'!$WBL:$WBL,' UKUPNO IZVORI'!$WBO:$WBO,' UKUPNO IZVORI'!$WLH:$WLH,' UKUPNO IZVORI'!$WLK:$WLK,' UKUPNO IZVORI'!$WVD:$WVD,' UKUPNO IZVORI'!$WVG:$WVG</definedName>
    <definedName name="Z_D0F51479_7B68_4FFC_8604_F0A17468B00E_.wvu.Cols" localSheetId="13" hidden="1">'2. razina'!$I:$I</definedName>
    <definedName name="Z_D0F51479_7B68_4FFC_8604_F0A17468B00E_.wvu.Cols" localSheetId="12" hidden="1">'HAMAG-BICRO - prihodi (2)'!#REF!,'HAMAG-BICRO - prihodi (2)'!$H:$J</definedName>
    <definedName name="Z_D0F51479_7B68_4FFC_8604_F0A17468B00E_.wvu.Cols" localSheetId="10" hidden="1">'HAMAG-BICRO - rashodi'!$D:$E</definedName>
    <definedName name="Z_D0F51479_7B68_4FFC_8604_F0A17468B00E_.wvu.Cols" localSheetId="14" hidden="1">HCZP!$D:$D</definedName>
    <definedName name="Z_D0F51479_7B68_4FFC_8604_F0A17468B00E_.wvu.PrintArea" localSheetId="4" hidden="1">' AOPT'!$A$1:$H$65</definedName>
    <definedName name="Z_D0F51479_7B68_4FFC_8604_F0A17468B00E_.wvu.PrintArea" localSheetId="13" hidden="1">'2. razina'!$A$1:$I$563</definedName>
    <definedName name="Z_D0F51479_7B68_4FFC_8604_F0A17468B00E_.wvu.PrintArea" localSheetId="5" hidden="1">AIK!$A$1:$H$113</definedName>
    <definedName name="Z_D0F51479_7B68_4FFC_8604_F0A17468B00E_.wvu.PrintArea" localSheetId="6" hidden="1">DZM!$A$1:$H$75</definedName>
    <definedName name="Z_D0F51479_7B68_4FFC_8604_F0A17468B00E_.wvu.PrintArea" localSheetId="8" hidden="1">HAA!$A$1:$H$68</definedName>
    <definedName name="Z_D0F51479_7B68_4FFC_8604_F0A17468B00E_.wvu.PrintArea" localSheetId="12" hidden="1">'HAMAG-BICRO - prihodi (2)'!$A$1:$G$65</definedName>
    <definedName name="Z_D0F51479_7B68_4FFC_8604_F0A17468B00E_.wvu.PrintArea" localSheetId="10" hidden="1">'HAMAG-BICRO - rashodi'!$A$2:$I$339</definedName>
    <definedName name="Z_D0F51479_7B68_4FFC_8604_F0A17468B00E_.wvu.PrintArea" localSheetId="11" hidden="1">'HAMAG-BICRO_rashodi (2) '!$A$1:$G$538</definedName>
    <definedName name="Z_D0F51479_7B68_4FFC_8604_F0A17468B00E_.wvu.PrintArea" localSheetId="14" hidden="1">HCZP!$A$1:$H$64</definedName>
    <definedName name="Z_D0F51479_7B68_4FFC_8604_F0A17468B00E_.wvu.PrintArea" localSheetId="7" hidden="1">HZN!$A$1:$H$72</definedName>
    <definedName name="Z_D0F51479_7B68_4FFC_8604_F0A17468B00E_.wvu.PrintArea" localSheetId="2" hidden="1">MINGPO!$A$1:$G$357</definedName>
    <definedName name="Z_D0F51479_7B68_4FFC_8604_F0A17468B00E_.wvu.PrintArea" localSheetId="3" hidden="1">ZALIHE!$A$1:$H$126</definedName>
    <definedName name="Z_D0F51479_7B68_4FFC_8604_F0A17468B00E_.wvu.PrintTitles" localSheetId="4" hidden="1">' AOPT'!$1:$1</definedName>
    <definedName name="Z_D0F51479_7B68_4FFC_8604_F0A17468B00E_.wvu.PrintTitles" localSheetId="5" hidden="1">AIK!$1:$1</definedName>
    <definedName name="Z_D0F51479_7B68_4FFC_8604_F0A17468B00E_.wvu.PrintTitles" localSheetId="6" hidden="1">DZM!$1:$1</definedName>
    <definedName name="Z_D0F51479_7B68_4FFC_8604_F0A17468B00E_.wvu.PrintTitles" localSheetId="8" hidden="1">HAA!$1:$1</definedName>
    <definedName name="Z_D0F51479_7B68_4FFC_8604_F0A17468B00E_.wvu.PrintTitles" localSheetId="12" hidden="1">'HAMAG-BICRO - prihodi (2)'!$2:$4</definedName>
    <definedName name="Z_D0F51479_7B68_4FFC_8604_F0A17468B00E_.wvu.PrintTitles" localSheetId="7" hidden="1">HZN!$1:$1</definedName>
    <definedName name="Z_D0F51479_7B68_4FFC_8604_F0A17468B00E_.wvu.PrintTitles" localSheetId="2" hidden="1">MINGPO!$1:$1</definedName>
    <definedName name="Z_D0F51479_7B68_4FFC_8604_F0A17468B00E_.wvu.PrintTitles" localSheetId="3" hidden="1">ZALIHE!$1:$1</definedName>
    <definedName name="Z_D0F51479_7B68_4FFC_8604_F0A17468B00E_.wvu.Rows" localSheetId="13" hidden="1">'2. razina'!$20:$28,'2. razina'!$30:$62,'2. razina'!$64:$66,'2. razina'!$68:$71,'2. razina'!$73:$79,'2. razina'!$82:$84,'2. razina'!$88:$103,'2. razina'!$106:$153,'2. razina'!$156:$159,'2. razina'!$162:$165,'2. razina'!$168:$181,'2. razina'!$185:$188,'2. razina'!$192:$203,'2. razina'!$206:$213,'2. razina'!$215:$235,'2. razina'!$237:$238,'2. razina'!$240:$241,'2. razina'!$243:$244,'2. razina'!$246:$250,'2. razina'!$253:$262,'2. razina'!$264:$267,'2. razina'!$270:$282,'2. razina'!$284:$285,'2. razina'!$288:$289,'2. razina'!$291:$309,'2. razina'!$311:$315,'2. razina'!$318:$324,'2. razina'!$326:$346,'2. razina'!$348:$350,'2. razina'!$355:$373,'2. razina'!$377:$421,'2. razina'!$424:$427,'2. razina'!$430:$433,'2. razina'!$436:$437,'2. razina'!$439:$440,'2. razina'!$443:$450,'2. razina'!$452:$464,'2. razina'!$466:$467,'2. razina'!$471:$478,'2. razina'!$482:$489,'2. razina'!$492:$493,'2. razina'!$496:$501,'2. razina'!$503:$515,'2. razina'!$517:$518,'2. razina'!$520:$523,'2. razina'!$527:$536,'2. razina'!$540:$555,'2. razina'!$558:$583,'2. razina'!$586:$589,'2. razina'!$592:$603</definedName>
    <definedName name="Z_D0F51479_7B68_4FFC_8604_F0A17468B00E_.wvu.Rows" localSheetId="12" hidden="1">'HAMAG-BICRO - prihodi (2)'!$72:$82</definedName>
    <definedName name="Z_D0F51479_7B68_4FFC_8604_F0A17468B00E_.wvu.Rows" localSheetId="10" hidden="1">'HAMAG-BICRO - rashodi'!$74:$80</definedName>
    <definedName name="Z_D0F51479_7B68_4FFC_8604_F0A17468B00E_.wvu.Rows" localSheetId="2" hidden="1">MINGPO!$235:$237,MINGPO!$271:$271,MINGPO!$273:$273,MINGPO!$278:$278,MINGPO!$282:$282,MINGPO!$286:$286</definedName>
    <definedName name="Z_DE360DA9_5353_4F03_95DA_9238CFBE39D8_.wvu.Cols" localSheetId="1" hidden="1">' UKUPNO IZVORI'!$D:$D,' UKUPNO IZVORI'!$IR:$IR,' UKUPNO IZVORI'!$IU:$IU,' UKUPNO IZVORI'!$SN:$SN,' UKUPNO IZVORI'!$SQ:$SQ,' UKUPNO IZVORI'!$ACJ:$ACJ,' UKUPNO IZVORI'!$ACM:$ACM,' UKUPNO IZVORI'!$AMF:$AMF,' UKUPNO IZVORI'!$AMI:$AMI,' UKUPNO IZVORI'!$AWB:$AWB,' UKUPNO IZVORI'!$AWE:$AWE,' UKUPNO IZVORI'!$BFX:$BFX,' UKUPNO IZVORI'!$BGA:$BGA,' UKUPNO IZVORI'!$BPT:$BPT,' UKUPNO IZVORI'!$BPW:$BPW,' UKUPNO IZVORI'!$BZP:$BZP,' UKUPNO IZVORI'!$BZS:$BZS,' UKUPNO IZVORI'!$CJL:$CJL,' UKUPNO IZVORI'!$CJO:$CJO,' UKUPNO IZVORI'!$CTH:$CTH,' UKUPNO IZVORI'!$CTK:$CTK,' UKUPNO IZVORI'!$DDD:$DDD,' UKUPNO IZVORI'!$DDG:$DDG,' UKUPNO IZVORI'!$DMZ:$DMZ,' UKUPNO IZVORI'!$DNC:$DNC,' UKUPNO IZVORI'!$DWV:$DWV,' UKUPNO IZVORI'!$DWY:$DWY,' UKUPNO IZVORI'!$EGR:$EGR,' UKUPNO IZVORI'!$EGU:$EGU,' UKUPNO IZVORI'!$EQN:$EQN,' UKUPNO IZVORI'!$EQQ:$EQQ,' UKUPNO IZVORI'!$FAJ:$FAJ,' UKUPNO IZVORI'!$FAM:$FAM,' UKUPNO IZVORI'!$FKF:$FKF,' UKUPNO IZVORI'!$FKI:$FKI,' UKUPNO IZVORI'!$FUB:$FUB,' UKUPNO IZVORI'!$FUE:$FUE,' UKUPNO IZVORI'!$GDX:$GDX,' UKUPNO IZVORI'!$GEA:$GEA,' UKUPNO IZVORI'!$GNT:$GNT,' UKUPNO IZVORI'!$GNW:$GNW,' UKUPNO IZVORI'!$GXP:$GXP,' UKUPNO IZVORI'!$GXS:$GXS,' UKUPNO IZVORI'!$HHL:$HHL,' UKUPNO IZVORI'!$HHO:$HHO,' UKUPNO IZVORI'!$HRH:$HRH,' UKUPNO IZVORI'!$HRK:$HRK,' UKUPNO IZVORI'!$IBD:$IBD,' UKUPNO IZVORI'!$IBG:$IBG,' UKUPNO IZVORI'!$IKZ:$IKZ,' UKUPNO IZVORI'!$ILC:$ILC,' UKUPNO IZVORI'!$IUV:$IUV,' UKUPNO IZVORI'!$IUY:$IUY,' UKUPNO IZVORI'!$JER:$JER,' UKUPNO IZVORI'!$JEU:$JEU,' UKUPNO IZVORI'!$JON:$JON,' UKUPNO IZVORI'!$JOQ:$JOQ,' UKUPNO IZVORI'!$JYJ:$JYJ,' UKUPNO IZVORI'!$JYM:$JYM,' UKUPNO IZVORI'!$KIF:$KIF,' UKUPNO IZVORI'!$KII:$KII,' UKUPNO IZVORI'!$KSB:$KSB,' UKUPNO IZVORI'!$KSE:$KSE,' UKUPNO IZVORI'!$LBX:$LBX,' UKUPNO IZVORI'!$LCA:$LCA,' UKUPNO IZVORI'!$LLT:$LLT,' UKUPNO IZVORI'!$LLW:$LLW,' UKUPNO IZVORI'!$LVP:$LVP,' UKUPNO IZVORI'!$LVS:$LVS,' UKUPNO IZVORI'!$MFL:$MFL,' UKUPNO IZVORI'!$MFO:$MFO,' UKUPNO IZVORI'!$MPH:$MPH,' UKUPNO IZVORI'!$MPK:$MPK,' UKUPNO IZVORI'!$MZD:$MZD,' UKUPNO IZVORI'!$MZG:$MZG,' UKUPNO IZVORI'!$NIZ:$NIZ,' UKUPNO IZVORI'!$NJC:$NJC,' UKUPNO IZVORI'!$NSV:$NSV,' UKUPNO IZVORI'!$NSY:$NSY,' UKUPNO IZVORI'!$OCR:$OCR,' UKUPNO IZVORI'!$OCU:$OCU,' UKUPNO IZVORI'!$OMN:$OMN,' UKUPNO IZVORI'!$OMQ:$OMQ,' UKUPNO IZVORI'!$OWJ:$OWJ,' UKUPNO IZVORI'!$OWM:$OWM,' UKUPNO IZVORI'!$PGF:$PGF,' UKUPNO IZVORI'!$PGI:$PGI,' UKUPNO IZVORI'!$PQB:$PQB,' UKUPNO IZVORI'!$PQE:$PQE,' UKUPNO IZVORI'!$PZX:$PZX,' UKUPNO IZVORI'!$QAA:$QAA,' UKUPNO IZVORI'!$QJT:$QJT,' UKUPNO IZVORI'!$QJW:$QJW,' UKUPNO IZVORI'!$QTP:$QTP,' UKUPNO IZVORI'!$QTS:$QTS,' UKUPNO IZVORI'!$RDL:$RDL,' UKUPNO IZVORI'!$RDO:$RDO,' UKUPNO IZVORI'!$RNH:$RNH,' UKUPNO IZVORI'!$RNK:$RNK,' UKUPNO IZVORI'!$RXD:$RXD,' UKUPNO IZVORI'!$RXG:$RXG,' UKUPNO IZVORI'!$SGZ:$SGZ,' UKUPNO IZVORI'!$SHC:$SHC,' UKUPNO IZVORI'!$SQV:$SQV,' UKUPNO IZVORI'!$SQY:$SQY,' UKUPNO IZVORI'!$TAR:$TAR,' UKUPNO IZVORI'!$TAU:$TAU,' UKUPNO IZVORI'!$TKN:$TKN,' UKUPNO IZVORI'!$TKQ:$TKQ,' UKUPNO IZVORI'!$TUJ:$TUJ,' UKUPNO IZVORI'!$TUM:$TUM,' UKUPNO IZVORI'!$UEF:$UEF,' UKUPNO IZVORI'!$UEI:$UEI,' UKUPNO IZVORI'!$UOB:$UOB,' UKUPNO IZVORI'!$UOE:$UOE,' UKUPNO IZVORI'!$UXX:$UXX,' UKUPNO IZVORI'!$UYA:$UYA,' UKUPNO IZVORI'!$VHT:$VHT,' UKUPNO IZVORI'!$VHW:$VHW,' UKUPNO IZVORI'!$VRP:$VRP,' UKUPNO IZVORI'!$VRS:$VRS,' UKUPNO IZVORI'!$WBL:$WBL,' UKUPNO IZVORI'!$WBO:$WBO,' UKUPNO IZVORI'!$WLH:$WLH,' UKUPNO IZVORI'!$WLK:$WLK,' UKUPNO IZVORI'!$WVD:$WVD,' UKUPNO IZVORI'!$WVG:$WVG</definedName>
    <definedName name="Z_DE360DA9_5353_4F03_95DA_9238CFBE39D8_.wvu.Cols" localSheetId="13" hidden="1">'2. razina'!$I:$I</definedName>
    <definedName name="Z_DE360DA9_5353_4F03_95DA_9238CFBE39D8_.wvu.Cols" localSheetId="12" hidden="1">'HAMAG-BICRO - prihodi (2)'!#REF!,'HAMAG-BICRO - prihodi (2)'!$H:$J</definedName>
    <definedName name="Z_DE360DA9_5353_4F03_95DA_9238CFBE39D8_.wvu.Cols" localSheetId="10" hidden="1">'HAMAG-BICRO - rashodi'!$D:$E</definedName>
    <definedName name="Z_DE360DA9_5353_4F03_95DA_9238CFBE39D8_.wvu.Cols" localSheetId="14" hidden="1">HCZP!$D:$D</definedName>
    <definedName name="Z_DE360DA9_5353_4F03_95DA_9238CFBE39D8_.wvu.PrintArea" localSheetId="4" hidden="1">' AOPT'!$A$1:$H$65</definedName>
    <definedName name="Z_DE360DA9_5353_4F03_95DA_9238CFBE39D8_.wvu.PrintArea" localSheetId="13" hidden="1">'2. razina'!$A$1:$I$563</definedName>
    <definedName name="Z_DE360DA9_5353_4F03_95DA_9238CFBE39D8_.wvu.PrintArea" localSheetId="5" hidden="1">AIK!$A$1:$H$113</definedName>
    <definedName name="Z_DE360DA9_5353_4F03_95DA_9238CFBE39D8_.wvu.PrintArea" localSheetId="6" hidden="1">DZM!$A$1:$H$75</definedName>
    <definedName name="Z_DE360DA9_5353_4F03_95DA_9238CFBE39D8_.wvu.PrintArea" localSheetId="8" hidden="1">HAA!$A$1:$H$68</definedName>
    <definedName name="Z_DE360DA9_5353_4F03_95DA_9238CFBE39D8_.wvu.PrintArea" localSheetId="12" hidden="1">'HAMAG-BICRO - prihodi (2)'!$A$1:$G$65</definedName>
    <definedName name="Z_DE360DA9_5353_4F03_95DA_9238CFBE39D8_.wvu.PrintArea" localSheetId="10" hidden="1">'HAMAG-BICRO - rashodi'!$A$2:$I$339</definedName>
    <definedName name="Z_DE360DA9_5353_4F03_95DA_9238CFBE39D8_.wvu.PrintArea" localSheetId="11" hidden="1">'HAMAG-BICRO_rashodi (2) '!$A$1:$G$538</definedName>
    <definedName name="Z_DE360DA9_5353_4F03_95DA_9238CFBE39D8_.wvu.PrintArea" localSheetId="14" hidden="1">HCZP!$A$1:$H$64</definedName>
    <definedName name="Z_DE360DA9_5353_4F03_95DA_9238CFBE39D8_.wvu.PrintArea" localSheetId="7" hidden="1">HZN!$A$1:$H$72</definedName>
    <definedName name="Z_DE360DA9_5353_4F03_95DA_9238CFBE39D8_.wvu.PrintArea" localSheetId="2" hidden="1">MINGPO!$A$1:$G$357</definedName>
    <definedName name="Z_DE360DA9_5353_4F03_95DA_9238CFBE39D8_.wvu.PrintArea" localSheetId="3" hidden="1">ZALIHE!$A$1:$H$126</definedName>
    <definedName name="Z_DE360DA9_5353_4F03_95DA_9238CFBE39D8_.wvu.PrintTitles" localSheetId="4" hidden="1">' AOPT'!$1:$1</definedName>
    <definedName name="Z_DE360DA9_5353_4F03_95DA_9238CFBE39D8_.wvu.PrintTitles" localSheetId="5" hidden="1">AIK!$1:$1</definedName>
    <definedName name="Z_DE360DA9_5353_4F03_95DA_9238CFBE39D8_.wvu.PrintTitles" localSheetId="6" hidden="1">DZM!$1:$1</definedName>
    <definedName name="Z_DE360DA9_5353_4F03_95DA_9238CFBE39D8_.wvu.PrintTitles" localSheetId="8" hidden="1">HAA!$1:$1</definedName>
    <definedName name="Z_DE360DA9_5353_4F03_95DA_9238CFBE39D8_.wvu.PrintTitles" localSheetId="12" hidden="1">'HAMAG-BICRO - prihodi (2)'!$2:$4</definedName>
    <definedName name="Z_DE360DA9_5353_4F03_95DA_9238CFBE39D8_.wvu.PrintTitles" localSheetId="7" hidden="1">HZN!$1:$1</definedName>
    <definedName name="Z_DE360DA9_5353_4F03_95DA_9238CFBE39D8_.wvu.PrintTitles" localSheetId="2" hidden="1">MINGPO!$1:$1</definedName>
    <definedName name="Z_DE360DA9_5353_4F03_95DA_9238CFBE39D8_.wvu.PrintTitles" localSheetId="3" hidden="1">ZALIHE!$1:$1</definedName>
    <definedName name="Z_DE360DA9_5353_4F03_95DA_9238CFBE39D8_.wvu.Rows" localSheetId="13" hidden="1">'2. razina'!$20:$28,'2. razina'!$30:$62,'2. razina'!$64:$66,'2. razina'!$68:$71,'2. razina'!$73:$79,'2. razina'!$82:$84,'2. razina'!$88:$103,'2. razina'!$106:$153,'2. razina'!$156:$159,'2. razina'!$162:$165,'2. razina'!$168:$181,'2. razina'!$185:$188,'2. razina'!$192:$203,'2. razina'!$206:$213,'2. razina'!$215:$235,'2. razina'!$237:$238,'2. razina'!$240:$241,'2. razina'!$243:$244,'2. razina'!$246:$250,'2. razina'!$253:$262,'2. razina'!$264:$267,'2. razina'!$270:$282,'2. razina'!$284:$285,'2. razina'!$288:$289,'2. razina'!$291:$309,'2. razina'!$311:$315,'2. razina'!$318:$324,'2. razina'!$326:$346,'2. razina'!$348:$350,'2. razina'!$355:$373,'2. razina'!$377:$421,'2. razina'!$424:$427,'2. razina'!$430:$433,'2. razina'!$436:$437,'2. razina'!$439:$440,'2. razina'!$443:$450,'2. razina'!$452:$464,'2. razina'!$466:$467,'2. razina'!$471:$478,'2. razina'!$482:$489,'2. razina'!$492:$493,'2. razina'!$496:$501,'2. razina'!$503:$515,'2. razina'!$517:$518,'2. razina'!$520:$523,'2. razina'!$527:$536,'2. razina'!$540:$555,'2. razina'!$558:$583,'2. razina'!$586:$589,'2. razina'!$592:$603</definedName>
    <definedName name="Z_DE360DA9_5353_4F03_95DA_9238CFBE39D8_.wvu.Rows" localSheetId="12" hidden="1">'HAMAG-BICRO - prihodi (2)'!$72:$82</definedName>
    <definedName name="Z_DE360DA9_5353_4F03_95DA_9238CFBE39D8_.wvu.Rows" localSheetId="10" hidden="1">'HAMAG-BICRO - rashodi'!$74:$80</definedName>
    <definedName name="Z_DE360DA9_5353_4F03_95DA_9238CFBE39D8_.wvu.Rows" localSheetId="2" hidden="1">MINGPO!$235:$237,MINGPO!$271:$271,MINGPO!$273:$273,MINGPO!$278:$278,MINGPO!$282:$282,MINGPO!$286:$286</definedName>
  </definedNames>
  <calcPr calcId="181029"/>
  <customWorkbookViews>
    <customWorkbookView name="Tamara Sarvaš - osobni prikaz" guid="{DE360DA9-5353-4F03-95DA-9238CFBE39D8}" mergeInterval="0" personalView="1" maximized="1" xWindow="-8" yWindow="-8" windowWidth="1936" windowHeight="1056" activeSheetId="12"/>
    <customWorkbookView name="Ivana Crnić-Duplančić - Personal View" guid="{4FFB33FE-6696-4144-BF99-378C5196B940}" mergeInterval="0" personalView="1" xWindow="21" yWindow="97" windowWidth="1891" windowHeight="902" activeSheetId="12"/>
    <customWorkbookView name="Vanja Agejev - Personal View" guid="{3D59341C-00F4-4635-AC4F-8988CF6BE637}" mergeInterval="0" personalView="1" maximized="1" xWindow="-8" yWindow="-8" windowWidth="1936" windowHeight="1056" activeSheetId="12"/>
    <customWorkbookView name="Jasmina Tvrdojević Perić - Personal View" guid="{5251AB89-31D9-4C6C-945A-13C9748C2E26}" mergeInterval="0" personalView="1" maximized="1" xWindow="-8" yWindow="-8" windowWidth="1936" windowHeight="1056" activeSheetId="12" showComments="commIndAndComment"/>
    <customWorkbookView name="Ira Alaburic - Personal View" guid="{14A1FC8C-94B5-4B4E-9269-30661976D1D1}" mergeInterval="0" personalView="1" xWindow="479" windowWidth="1436" windowHeight="1040" activeSheetId="12"/>
    <customWorkbookView name="Matko Bošković - Personal View" guid="{D0F51479-7B68-4FFC-8604-F0A17468B00E}" mergeInterval="0" personalView="1" maximized="1" xWindow="-8" yWindow="-8" windowWidth="1936" windowHeight="1056" activeSheetId="12"/>
    <customWorkbookView name="Milka Marina Kovačević - osobni prikaz" guid="{0D7CE69A-AF67-471F-AE1C-92FEF35D1955}" mergeInterval="0" personalView="1" maximized="1" xWindow="-8" yWindow="-8" windowWidth="1936" windowHeight="1056" activeSheetId="12"/>
    <customWorkbookView name="Sara Lukić - Personal View" guid="{3EC3B099-A84F-48D2-A97E-B7686AB72BE7}" mergeInterval="0" personalView="1" maximized="1" xWindow="-8" yWindow="-8" windowWidth="1936" windowHeight="1056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2" l="1"/>
  <c r="F467" i="12"/>
  <c r="G467" i="12"/>
  <c r="F468" i="12"/>
  <c r="G468" i="12"/>
  <c r="E468" i="12"/>
  <c r="E467" i="12"/>
  <c r="F476" i="12"/>
  <c r="G476" i="12"/>
  <c r="E476" i="12"/>
  <c r="G15" i="12"/>
  <c r="F13" i="12"/>
  <c r="G13" i="12"/>
  <c r="E13" i="12"/>
  <c r="F332" i="12"/>
  <c r="G332" i="12"/>
  <c r="F333" i="12"/>
  <c r="G333" i="12"/>
  <c r="E333" i="12"/>
  <c r="E332" i="12"/>
  <c r="F342" i="12"/>
  <c r="G342" i="12"/>
  <c r="F343" i="12"/>
  <c r="G343" i="12"/>
  <c r="E342" i="12"/>
  <c r="E343" i="12"/>
  <c r="F231" i="12"/>
  <c r="G231" i="12"/>
  <c r="E231" i="12"/>
  <c r="F192" i="12"/>
  <c r="G192" i="12"/>
  <c r="E192" i="12"/>
  <c r="F196" i="12"/>
  <c r="G196" i="12"/>
  <c r="E196" i="12"/>
  <c r="F145" i="12"/>
  <c r="G145" i="12"/>
  <c r="F146" i="12"/>
  <c r="G146" i="12"/>
  <c r="E146" i="12"/>
  <c r="E145" i="12"/>
  <c r="F12" i="12"/>
  <c r="G12" i="12"/>
  <c r="E12" i="12"/>
  <c r="F26" i="12"/>
  <c r="G26" i="12"/>
  <c r="E26" i="12"/>
  <c r="E21" i="12"/>
  <c r="F14" i="12" l="1"/>
  <c r="G14" i="12"/>
  <c r="E14" i="12"/>
  <c r="F41" i="12"/>
  <c r="F29" i="12" s="1"/>
  <c r="G41" i="12"/>
  <c r="G29" i="12" s="1"/>
  <c r="E41" i="12"/>
  <c r="E29" i="12" s="1"/>
  <c r="F9" i="13" l="1"/>
  <c r="G9" i="13"/>
  <c r="E9" i="13"/>
  <c r="G5" i="13" l="1"/>
  <c r="E5" i="13"/>
  <c r="F5" i="13"/>
  <c r="F57" i="13" l="1"/>
  <c r="G57" i="13"/>
  <c r="E57" i="13"/>
  <c r="F69" i="13" l="1"/>
  <c r="G69" i="13"/>
  <c r="E69" i="13"/>
  <c r="E532" i="12" l="1"/>
  <c r="E531" i="12"/>
  <c r="E528" i="12"/>
  <c r="E527" i="12"/>
  <c r="E525" i="12" s="1"/>
  <c r="E482" i="12"/>
  <c r="E481" i="12"/>
  <c r="E384" i="12"/>
  <c r="E359" i="12"/>
  <c r="E355" i="12"/>
  <c r="E339" i="12"/>
  <c r="E358" i="12"/>
  <c r="E354" i="12"/>
  <c r="E338" i="12"/>
  <c r="E320" i="12"/>
  <c r="E286" i="12"/>
  <c r="E284" i="12"/>
  <c r="E271" i="12"/>
  <c r="E268" i="12"/>
  <c r="E237" i="12"/>
  <c r="E240" i="12"/>
  <c r="E164" i="12"/>
  <c r="E128" i="12"/>
  <c r="E118" i="12"/>
  <c r="E108" i="12"/>
  <c r="E106" i="12" s="1"/>
  <c r="E98" i="12"/>
  <c r="E92" i="12"/>
  <c r="E169" i="12"/>
  <c r="E163" i="12"/>
  <c r="E161" i="12" s="1"/>
  <c r="E127" i="12"/>
  <c r="E117" i="12"/>
  <c r="E107" i="12"/>
  <c r="E97" i="12"/>
  <c r="E91" i="12"/>
  <c r="E67" i="12"/>
  <c r="F398" i="12"/>
  <c r="G398" i="12"/>
  <c r="E398" i="12"/>
  <c r="F396" i="12"/>
  <c r="G396" i="12"/>
  <c r="E396" i="12"/>
  <c r="F392" i="12"/>
  <c r="G392" i="12"/>
  <c r="E392" i="12"/>
  <c r="F248" i="12"/>
  <c r="G248" i="12"/>
  <c r="E248" i="12"/>
  <c r="E283" i="12" l="1"/>
  <c r="E526" i="12"/>
  <c r="E105" i="12"/>
  <c r="E395" i="12"/>
  <c r="E330" i="12"/>
  <c r="G395" i="12"/>
  <c r="F395" i="12"/>
  <c r="E365" i="12"/>
  <c r="E364" i="12"/>
  <c r="E362" i="12" s="1"/>
  <c r="E327" i="12" l="1"/>
  <c r="E326" i="12"/>
  <c r="E324" i="12" s="1"/>
  <c r="E319" i="12"/>
  <c r="E318" i="12"/>
  <c r="E316" i="12" s="1"/>
  <c r="F319" i="12"/>
  <c r="F15" i="12" s="1"/>
  <c r="E15" i="12" l="1"/>
  <c r="E317" i="12"/>
  <c r="G47" i="12" l="1"/>
  <c r="F47" i="12"/>
  <c r="E47" i="12"/>
  <c r="G512" i="12" l="1"/>
  <c r="G508" i="12" s="1"/>
  <c r="G511" i="12"/>
  <c r="G507" i="12" s="1"/>
  <c r="F512" i="12"/>
  <c r="F508" i="12" s="1"/>
  <c r="F511" i="12"/>
  <c r="F507" i="12" s="1"/>
  <c r="E512" i="12"/>
  <c r="E508" i="12" s="1"/>
  <c r="E511" i="12"/>
  <c r="E507" i="12" s="1"/>
  <c r="E189" i="12"/>
  <c r="F188" i="12"/>
  <c r="F8" i="12" s="1"/>
  <c r="E188" i="12"/>
  <c r="E8" i="12" s="1"/>
  <c r="F37" i="12" l="1"/>
  <c r="G37" i="12"/>
  <c r="E37" i="12"/>
  <c r="F43" i="12"/>
  <c r="G43" i="12"/>
  <c r="E43" i="12"/>
  <c r="F46" i="12"/>
  <c r="G46" i="12"/>
  <c r="E46" i="12"/>
  <c r="E412" i="12" l="1"/>
  <c r="E408" i="12" s="1"/>
  <c r="E413" i="12"/>
  <c r="E409" i="12" s="1"/>
  <c r="E410" i="12"/>
  <c r="E430" i="12"/>
  <c r="E9" i="12"/>
  <c r="F217" i="12"/>
  <c r="G217" i="12"/>
  <c r="E217" i="12"/>
  <c r="E204" i="12"/>
  <c r="E199" i="12"/>
  <c r="E194" i="12"/>
  <c r="F532" i="12"/>
  <c r="G532" i="12"/>
  <c r="F516" i="12"/>
  <c r="F514" i="12" s="1"/>
  <c r="G516" i="12"/>
  <c r="G514" i="12" s="1"/>
  <c r="F490" i="12"/>
  <c r="G490" i="12"/>
  <c r="F482" i="12"/>
  <c r="G482" i="12"/>
  <c r="F103" i="12"/>
  <c r="F127" i="12"/>
  <c r="F477" i="12"/>
  <c r="F475" i="12" s="1"/>
  <c r="F501" i="12"/>
  <c r="F493" i="12" s="1"/>
  <c r="G103" i="12"/>
  <c r="G477" i="12"/>
  <c r="G475" i="12" s="1"/>
  <c r="G501" i="12"/>
  <c r="G493" i="12" s="1"/>
  <c r="E103" i="12"/>
  <c r="E477" i="12"/>
  <c r="E475" i="12" s="1"/>
  <c r="E501" i="12"/>
  <c r="E493" i="12" s="1"/>
  <c r="E489" i="12"/>
  <c r="F481" i="12"/>
  <c r="G481" i="12"/>
  <c r="E471" i="12"/>
  <c r="F502" i="12"/>
  <c r="F494" i="12" s="1"/>
  <c r="G502" i="12"/>
  <c r="E502" i="12"/>
  <c r="E494" i="12" s="1"/>
  <c r="F527" i="12"/>
  <c r="F531" i="12"/>
  <c r="G527" i="12"/>
  <c r="G531" i="12"/>
  <c r="F528" i="12"/>
  <c r="G528" i="12"/>
  <c r="F474" i="12"/>
  <c r="F17" i="12" s="1"/>
  <c r="G474" i="12"/>
  <c r="E474" i="12"/>
  <c r="F51" i="12"/>
  <c r="F40" i="12" s="1"/>
  <c r="G51" i="12"/>
  <c r="G4" i="12" s="1"/>
  <c r="E51" i="12"/>
  <c r="E40" i="12" s="1"/>
  <c r="F213" i="12"/>
  <c r="F208" i="12" s="1"/>
  <c r="G213" i="12"/>
  <c r="G208" i="12" s="1"/>
  <c r="E213" i="12"/>
  <c r="E537" i="12"/>
  <c r="F240" i="12"/>
  <c r="F237" i="12"/>
  <c r="F244" i="12"/>
  <c r="F247" i="12"/>
  <c r="F246" i="12" s="1"/>
  <c r="G240" i="12"/>
  <c r="G237" i="12"/>
  <c r="G244" i="12"/>
  <c r="G247" i="12"/>
  <c r="G246" i="12" s="1"/>
  <c r="E244" i="12"/>
  <c r="E236" i="12" s="1"/>
  <c r="E247" i="12"/>
  <c r="E246" i="12" s="1"/>
  <c r="E422" i="12"/>
  <c r="E427" i="12"/>
  <c r="E425" i="12"/>
  <c r="F422" i="12"/>
  <c r="G422" i="12"/>
  <c r="G104" i="12"/>
  <c r="F104" i="12"/>
  <c r="E104" i="12"/>
  <c r="F70" i="12"/>
  <c r="F69" i="12" s="1"/>
  <c r="G69" i="12"/>
  <c r="E70" i="12"/>
  <c r="E69" i="12" s="1"/>
  <c r="E73" i="12"/>
  <c r="E72" i="12" s="1"/>
  <c r="F73" i="12"/>
  <c r="F72" i="12" s="1"/>
  <c r="G73" i="12"/>
  <c r="G72" i="12" s="1"/>
  <c r="E76" i="12"/>
  <c r="E81" i="12"/>
  <c r="F76" i="12"/>
  <c r="F81" i="12"/>
  <c r="G76" i="12"/>
  <c r="G81" i="12"/>
  <c r="F374" i="12"/>
  <c r="F376" i="12"/>
  <c r="F379" i="12"/>
  <c r="F382" i="12"/>
  <c r="F384" i="12"/>
  <c r="F389" i="12"/>
  <c r="G374" i="12"/>
  <c r="G376" i="12"/>
  <c r="G379" i="12"/>
  <c r="G382" i="12"/>
  <c r="G384" i="12"/>
  <c r="G389" i="12"/>
  <c r="E374" i="12"/>
  <c r="E376" i="12"/>
  <c r="E379" i="12"/>
  <c r="E382" i="12"/>
  <c r="E389" i="12"/>
  <c r="G277" i="12"/>
  <c r="G287" i="12"/>
  <c r="F287" i="12"/>
  <c r="F286" i="12" s="1"/>
  <c r="F9" i="12"/>
  <c r="F453" i="12"/>
  <c r="F450" i="12" s="1"/>
  <c r="G453" i="12"/>
  <c r="G450" i="12" s="1"/>
  <c r="E453" i="12"/>
  <c r="E450" i="12" s="1"/>
  <c r="G9" i="12"/>
  <c r="F10" i="12"/>
  <c r="G10" i="12"/>
  <c r="E174" i="12"/>
  <c r="E186" i="12"/>
  <c r="E177" i="12" s="1"/>
  <c r="E180" i="12"/>
  <c r="E181" i="12"/>
  <c r="E187" i="12"/>
  <c r="F186" i="12"/>
  <c r="F177" i="12" s="1"/>
  <c r="G186" i="12"/>
  <c r="G177" i="12" s="1"/>
  <c r="E7" i="12"/>
  <c r="G537" i="12"/>
  <c r="F537" i="12"/>
  <c r="F536" i="12" s="1"/>
  <c r="F535" i="12" s="1"/>
  <c r="G536" i="12"/>
  <c r="G535" i="12" s="1"/>
  <c r="G21" i="12"/>
  <c r="G24" i="12"/>
  <c r="G30" i="12"/>
  <c r="G35" i="12"/>
  <c r="G52" i="12"/>
  <c r="G54" i="12"/>
  <c r="G63" i="12"/>
  <c r="G62" i="12" s="1"/>
  <c r="G66" i="12"/>
  <c r="G85" i="12"/>
  <c r="G83" i="12" s="1"/>
  <c r="G91" i="12"/>
  <c r="G92" i="12"/>
  <c r="G97" i="12"/>
  <c r="G98" i="12"/>
  <c r="G107" i="12"/>
  <c r="G108" i="12"/>
  <c r="G117" i="12"/>
  <c r="G118" i="12"/>
  <c r="G128" i="12"/>
  <c r="G151" i="12"/>
  <c r="G149" i="12" s="1"/>
  <c r="G152" i="12"/>
  <c r="G150" i="12" s="1"/>
  <c r="G157" i="12"/>
  <c r="G155" i="12" s="1"/>
  <c r="G158" i="12"/>
  <c r="G156" i="12" s="1"/>
  <c r="G163" i="12"/>
  <c r="G164" i="12"/>
  <c r="G169" i="12"/>
  <c r="G170" i="12"/>
  <c r="G174" i="12"/>
  <c r="G175" i="12"/>
  <c r="G180" i="12"/>
  <c r="G178" i="12" s="1"/>
  <c r="G181" i="12"/>
  <c r="G187" i="12"/>
  <c r="G194" i="12"/>
  <c r="G199" i="12"/>
  <c r="G204" i="12"/>
  <c r="G222" i="12"/>
  <c r="G221" i="12" s="1"/>
  <c r="G225" i="12"/>
  <c r="G224" i="12" s="1"/>
  <c r="G228" i="12"/>
  <c r="G227" i="12" s="1"/>
  <c r="G233" i="12"/>
  <c r="G251" i="12"/>
  <c r="G253" i="12"/>
  <c r="G258" i="12"/>
  <c r="G260" i="12"/>
  <c r="G264" i="12"/>
  <c r="G263" i="12" s="1"/>
  <c r="G268" i="12"/>
  <c r="G271" i="12"/>
  <c r="G279" i="12"/>
  <c r="G284" i="12"/>
  <c r="G289" i="12"/>
  <c r="G294" i="12"/>
  <c r="G297" i="12"/>
  <c r="G303" i="12"/>
  <c r="G305" i="12"/>
  <c r="G310" i="12"/>
  <c r="G309" i="12" s="1"/>
  <c r="G316" i="12"/>
  <c r="G317" i="12"/>
  <c r="G320" i="12"/>
  <c r="G321" i="12"/>
  <c r="G324" i="12"/>
  <c r="G325" i="12"/>
  <c r="G338" i="12"/>
  <c r="G339" i="12"/>
  <c r="G354" i="12"/>
  <c r="G355" i="12"/>
  <c r="G358" i="12"/>
  <c r="G359" i="12"/>
  <c r="G363" i="12"/>
  <c r="G365" i="12"/>
  <c r="G364" i="12" s="1"/>
  <c r="G362" i="12" s="1"/>
  <c r="G370" i="12"/>
  <c r="G369" i="12" s="1"/>
  <c r="G393" i="12"/>
  <c r="G403" i="12"/>
  <c r="G401" i="12" s="1"/>
  <c r="G404" i="12"/>
  <c r="G402" i="12" s="1"/>
  <c r="G410" i="12"/>
  <c r="G407" i="12" s="1"/>
  <c r="G412" i="12"/>
  <c r="G408" i="12" s="1"/>
  <c r="G413" i="12"/>
  <c r="G409" i="12" s="1"/>
  <c r="G418" i="12"/>
  <c r="G416" i="12" s="1"/>
  <c r="G425" i="12"/>
  <c r="G427" i="12"/>
  <c r="G430" i="12"/>
  <c r="G434" i="12"/>
  <c r="G436" i="12"/>
  <c r="G439" i="12"/>
  <c r="G442" i="12"/>
  <c r="G441" i="12" s="1"/>
  <c r="G445" i="12"/>
  <c r="G444" i="12" s="1"/>
  <c r="G451" i="12"/>
  <c r="G452" i="12"/>
  <c r="G460" i="12"/>
  <c r="G461" i="12"/>
  <c r="G471" i="12"/>
  <c r="G489" i="12"/>
  <c r="G515" i="12"/>
  <c r="G513" i="12" s="1"/>
  <c r="G521" i="12"/>
  <c r="G519" i="12" s="1"/>
  <c r="G522" i="12"/>
  <c r="G520" i="12" s="1"/>
  <c r="G7" i="12"/>
  <c r="G11" i="12"/>
  <c r="E461" i="12"/>
  <c r="E460" i="12"/>
  <c r="F452" i="12"/>
  <c r="E452" i="12"/>
  <c r="F451" i="12"/>
  <c r="E451" i="12"/>
  <c r="E73" i="13"/>
  <c r="E74" i="13"/>
  <c r="G73" i="13"/>
  <c r="F73" i="13"/>
  <c r="F74" i="13"/>
  <c r="G74" i="13"/>
  <c r="E66" i="12"/>
  <c r="F67" i="12"/>
  <c r="F66" i="12" s="1"/>
  <c r="F425" i="12"/>
  <c r="F251" i="12"/>
  <c r="E251" i="12"/>
  <c r="F279" i="12"/>
  <c r="E279" i="12"/>
  <c r="F271" i="12"/>
  <c r="F268" i="12"/>
  <c r="E26" i="13"/>
  <c r="F17" i="13"/>
  <c r="G17" i="13"/>
  <c r="E17" i="13"/>
  <c r="F64" i="13"/>
  <c r="G64" i="13"/>
  <c r="E64" i="13"/>
  <c r="G54" i="13"/>
  <c r="F54" i="13"/>
  <c r="E54" i="13"/>
  <c r="G52" i="13"/>
  <c r="F52" i="13"/>
  <c r="E52" i="13"/>
  <c r="G48" i="13"/>
  <c r="F48" i="13"/>
  <c r="E48" i="13"/>
  <c r="G46" i="13"/>
  <c r="F46" i="13"/>
  <c r="E46" i="13"/>
  <c r="G44" i="13"/>
  <c r="F44" i="13"/>
  <c r="E44" i="13"/>
  <c r="G39" i="13"/>
  <c r="F39" i="13"/>
  <c r="E39" i="13"/>
  <c r="G36" i="13"/>
  <c r="F36" i="13"/>
  <c r="E36" i="13"/>
  <c r="G33" i="13"/>
  <c r="F33" i="13"/>
  <c r="E33" i="13"/>
  <c r="G31" i="13"/>
  <c r="F31" i="13"/>
  <c r="E31" i="13"/>
  <c r="G29" i="13"/>
  <c r="F29" i="13"/>
  <c r="E29" i="13"/>
  <c r="G26" i="13"/>
  <c r="F26" i="13"/>
  <c r="G12" i="13"/>
  <c r="F12" i="13"/>
  <c r="E12" i="13"/>
  <c r="G10" i="13"/>
  <c r="F10" i="13"/>
  <c r="E10" i="13"/>
  <c r="I21" i="14"/>
  <c r="I22" i="14"/>
  <c r="I23" i="14"/>
  <c r="I25" i="14"/>
  <c r="I27" i="14"/>
  <c r="I28" i="14"/>
  <c r="I32" i="14"/>
  <c r="I33" i="14"/>
  <c r="I34" i="14"/>
  <c r="I35" i="14"/>
  <c r="I37" i="14"/>
  <c r="I38" i="14"/>
  <c r="I39" i="14"/>
  <c r="I40" i="14"/>
  <c r="I43" i="14"/>
  <c r="I44" i="14"/>
  <c r="I45" i="14"/>
  <c r="I46" i="14"/>
  <c r="I49" i="14"/>
  <c r="I50" i="14"/>
  <c r="I51" i="14"/>
  <c r="I52" i="14"/>
  <c r="I54" i="14"/>
  <c r="I56" i="14"/>
  <c r="I57" i="14"/>
  <c r="I58" i="14"/>
  <c r="I59" i="14"/>
  <c r="I60" i="14"/>
  <c r="I62" i="14"/>
  <c r="I65" i="14"/>
  <c r="I66" i="14"/>
  <c r="I69" i="14"/>
  <c r="I71" i="14"/>
  <c r="I74" i="14"/>
  <c r="I75" i="14"/>
  <c r="I76" i="14"/>
  <c r="I77" i="14"/>
  <c r="I79" i="14"/>
  <c r="I83" i="14"/>
  <c r="I84" i="14"/>
  <c r="I90" i="14"/>
  <c r="I91" i="14"/>
  <c r="I92" i="14"/>
  <c r="I93" i="14"/>
  <c r="I96" i="14"/>
  <c r="I97" i="14"/>
  <c r="I100" i="14"/>
  <c r="I101" i="14"/>
  <c r="I102" i="14"/>
  <c r="I103" i="14"/>
  <c r="I108" i="14"/>
  <c r="I109" i="14"/>
  <c r="I110" i="14"/>
  <c r="I111" i="14"/>
  <c r="I112" i="14"/>
  <c r="I113" i="14"/>
  <c r="I114" i="14"/>
  <c r="I115" i="14"/>
  <c r="I118" i="14"/>
  <c r="I119" i="14"/>
  <c r="I120" i="14"/>
  <c r="I121" i="14"/>
  <c r="I122" i="14"/>
  <c r="I123" i="14"/>
  <c r="I124" i="14"/>
  <c r="I125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6" i="14"/>
  <c r="I147" i="14"/>
  <c r="I150" i="14"/>
  <c r="I151" i="14"/>
  <c r="I152" i="14"/>
  <c r="I153" i="14"/>
  <c r="I158" i="14"/>
  <c r="I159" i="14"/>
  <c r="I164" i="14"/>
  <c r="I165" i="14"/>
  <c r="I170" i="14"/>
  <c r="I171" i="14"/>
  <c r="I172" i="14"/>
  <c r="I173" i="14"/>
  <c r="I176" i="14"/>
  <c r="I177" i="14"/>
  <c r="I180" i="14"/>
  <c r="I181" i="14"/>
  <c r="I187" i="14"/>
  <c r="I188" i="14"/>
  <c r="I195" i="14"/>
  <c r="I196" i="14"/>
  <c r="I197" i="14"/>
  <c r="I198" i="14"/>
  <c r="I199" i="14"/>
  <c r="I202" i="14"/>
  <c r="I203" i="14"/>
  <c r="I207" i="14"/>
  <c r="I208" i="14"/>
  <c r="I210" i="14"/>
  <c r="I212" i="14"/>
  <c r="I213" i="14"/>
  <c r="I216" i="14"/>
  <c r="I217" i="14"/>
  <c r="I218" i="14"/>
  <c r="I219" i="14"/>
  <c r="I221" i="14"/>
  <c r="I222" i="14"/>
  <c r="I223" i="14"/>
  <c r="I225" i="14"/>
  <c r="I226" i="14"/>
  <c r="I227" i="14"/>
  <c r="I228" i="14"/>
  <c r="I229" i="14"/>
  <c r="I230" i="14"/>
  <c r="I231" i="14"/>
  <c r="I232" i="14"/>
  <c r="I234" i="14"/>
  <c r="I235" i="14"/>
  <c r="I238" i="14"/>
  <c r="I241" i="14"/>
  <c r="I244" i="14"/>
  <c r="I247" i="14"/>
  <c r="I248" i="14"/>
  <c r="I250" i="14"/>
  <c r="I254" i="14"/>
  <c r="I255" i="14"/>
  <c r="I257" i="14"/>
  <c r="I258" i="14"/>
  <c r="I260" i="14"/>
  <c r="I262" i="14"/>
  <c r="I265" i="14"/>
  <c r="I267" i="14"/>
  <c r="I271" i="14"/>
  <c r="I272" i="14"/>
  <c r="I274" i="14"/>
  <c r="I275" i="14"/>
  <c r="I276" i="14"/>
  <c r="I277" i="14"/>
  <c r="I279" i="14"/>
  <c r="I281" i="14"/>
  <c r="I282" i="14"/>
  <c r="I285" i="14"/>
  <c r="I289" i="14"/>
  <c r="I292" i="14"/>
  <c r="I293" i="14"/>
  <c r="I295" i="14"/>
  <c r="I297" i="14"/>
  <c r="I298" i="14"/>
  <c r="I299" i="14"/>
  <c r="I300" i="14"/>
  <c r="I301" i="14"/>
  <c r="I302" i="14"/>
  <c r="I303" i="14"/>
  <c r="I304" i="14"/>
  <c r="I306" i="14"/>
  <c r="I308" i="14"/>
  <c r="I309" i="14"/>
  <c r="I312" i="14"/>
  <c r="I313" i="14"/>
  <c r="I315" i="14"/>
  <c r="I319" i="14"/>
  <c r="I321" i="14"/>
  <c r="I323" i="14"/>
  <c r="I324" i="14"/>
  <c r="I327" i="14"/>
  <c r="I328" i="14"/>
  <c r="I329" i="14"/>
  <c r="I333" i="14"/>
  <c r="I335" i="14"/>
  <c r="I336" i="14"/>
  <c r="I337" i="14"/>
  <c r="I338" i="14"/>
  <c r="I339" i="14"/>
  <c r="I340" i="14"/>
  <c r="I342" i="14"/>
  <c r="I344" i="14"/>
  <c r="I345" i="14"/>
  <c r="I346" i="14"/>
  <c r="I349" i="14"/>
  <c r="I350" i="14"/>
  <c r="I380" i="14"/>
  <c r="I381" i="14"/>
  <c r="I385" i="14"/>
  <c r="I386" i="14"/>
  <c r="I390" i="14"/>
  <c r="I391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9" i="14"/>
  <c r="I410" i="14"/>
  <c r="I414" i="14"/>
  <c r="I415" i="14"/>
  <c r="I419" i="14"/>
  <c r="I420" i="14"/>
  <c r="I426" i="14"/>
  <c r="I427" i="14"/>
  <c r="I432" i="14"/>
  <c r="I433" i="14"/>
  <c r="I437" i="14"/>
  <c r="I440" i="14"/>
  <c r="I444" i="14"/>
  <c r="I445" i="14"/>
  <c r="I447" i="14"/>
  <c r="I449" i="14"/>
  <c r="I450" i="14"/>
  <c r="I453" i="14"/>
  <c r="I454" i="14"/>
  <c r="I456" i="14"/>
  <c r="I458" i="14"/>
  <c r="I459" i="14"/>
  <c r="I460" i="14"/>
  <c r="I461" i="14"/>
  <c r="I463" i="14"/>
  <c r="I464" i="14"/>
  <c r="I467" i="14"/>
  <c r="I473" i="14"/>
  <c r="I474" i="14"/>
  <c r="I477" i="14"/>
  <c r="I478" i="14"/>
  <c r="I484" i="14"/>
  <c r="I485" i="14"/>
  <c r="I488" i="14"/>
  <c r="I489" i="14"/>
  <c r="I493" i="14"/>
  <c r="I497" i="14"/>
  <c r="I500" i="14"/>
  <c r="I501" i="14"/>
  <c r="I504" i="14"/>
  <c r="I505" i="14"/>
  <c r="I506" i="14"/>
  <c r="I508" i="14"/>
  <c r="I510" i="14"/>
  <c r="I511" i="14"/>
  <c r="I512" i="14"/>
  <c r="I513" i="14"/>
  <c r="I515" i="14"/>
  <c r="I518" i="14"/>
  <c r="I521" i="14"/>
  <c r="I523" i="14"/>
  <c r="I529" i="14"/>
  <c r="I530" i="14"/>
  <c r="I531" i="14"/>
  <c r="I532" i="14"/>
  <c r="I535" i="14"/>
  <c r="I536" i="14"/>
  <c r="I542" i="14"/>
  <c r="I543" i="14"/>
  <c r="I544" i="14"/>
  <c r="I545" i="14"/>
  <c r="I548" i="14"/>
  <c r="I549" i="14"/>
  <c r="I552" i="14"/>
  <c r="I553" i="14"/>
  <c r="I554" i="14"/>
  <c r="I555" i="14"/>
  <c r="I560" i="14"/>
  <c r="I561" i="14"/>
  <c r="I562" i="14"/>
  <c r="I563" i="14"/>
  <c r="I566" i="14"/>
  <c r="I567" i="14"/>
  <c r="I570" i="14"/>
  <c r="I571" i="14"/>
  <c r="I572" i="14"/>
  <c r="I573" i="14"/>
  <c r="I574" i="14"/>
  <c r="I575" i="14"/>
  <c r="I578" i="14"/>
  <c r="I579" i="14"/>
  <c r="I582" i="14"/>
  <c r="I583" i="14"/>
  <c r="I588" i="14"/>
  <c r="I589" i="14"/>
  <c r="I594" i="14"/>
  <c r="I595" i="14"/>
  <c r="I598" i="14"/>
  <c r="I599" i="14"/>
  <c r="I602" i="14"/>
  <c r="I603" i="14"/>
  <c r="H601" i="14"/>
  <c r="G601" i="14"/>
  <c r="F601" i="14"/>
  <c r="I601" i="14" s="1"/>
  <c r="H600" i="14"/>
  <c r="G600" i="14"/>
  <c r="F600" i="14"/>
  <c r="I600" i="14" s="1"/>
  <c r="H597" i="14"/>
  <c r="G597" i="14"/>
  <c r="F597" i="14"/>
  <c r="I597" i="14" s="1"/>
  <c r="H596" i="14"/>
  <c r="G596" i="14"/>
  <c r="F596" i="14"/>
  <c r="I596" i="14" s="1"/>
  <c r="H593" i="14"/>
  <c r="G593" i="14"/>
  <c r="F593" i="14"/>
  <c r="E593" i="14"/>
  <c r="E591" i="14" s="1"/>
  <c r="H592" i="14"/>
  <c r="G592" i="14"/>
  <c r="F592" i="14"/>
  <c r="E592" i="14"/>
  <c r="E590" i="14" s="1"/>
  <c r="H587" i="14"/>
  <c r="H585" i="14" s="1"/>
  <c r="G587" i="14"/>
  <c r="G585" i="14" s="1"/>
  <c r="F587" i="14"/>
  <c r="F585" i="14" s="1"/>
  <c r="E587" i="14"/>
  <c r="E585" i="14" s="1"/>
  <c r="H586" i="14"/>
  <c r="H584" i="14" s="1"/>
  <c r="G586" i="14"/>
  <c r="G584" i="14" s="1"/>
  <c r="F586" i="14"/>
  <c r="E586" i="14"/>
  <c r="E584" i="14" s="1"/>
  <c r="H581" i="14"/>
  <c r="G581" i="14"/>
  <c r="F581" i="14"/>
  <c r="I581" i="14" s="1"/>
  <c r="H580" i="14"/>
  <c r="G580" i="14"/>
  <c r="F580" i="14"/>
  <c r="I580" i="14" s="1"/>
  <c r="H577" i="14"/>
  <c r="G577" i="14"/>
  <c r="F577" i="14"/>
  <c r="I577" i="14" s="1"/>
  <c r="H576" i="14"/>
  <c r="G576" i="14"/>
  <c r="F576" i="14"/>
  <c r="I576" i="14" s="1"/>
  <c r="H569" i="14"/>
  <c r="G569" i="14"/>
  <c r="F569" i="14"/>
  <c r="E569" i="14"/>
  <c r="H568" i="14"/>
  <c r="G568" i="14"/>
  <c r="F568" i="14"/>
  <c r="I568" i="14" s="1"/>
  <c r="H565" i="14"/>
  <c r="G565" i="14"/>
  <c r="F565" i="14"/>
  <c r="I565" i="14" s="1"/>
  <c r="H564" i="14"/>
  <c r="G564" i="14"/>
  <c r="F564" i="14"/>
  <c r="I564" i="14" s="1"/>
  <c r="H559" i="14"/>
  <c r="G559" i="14"/>
  <c r="F559" i="14"/>
  <c r="H558" i="14"/>
  <c r="G558" i="14"/>
  <c r="F558" i="14"/>
  <c r="G554" i="14"/>
  <c r="G552" i="14"/>
  <c r="H551" i="14"/>
  <c r="G551" i="14"/>
  <c r="F551" i="14"/>
  <c r="E551" i="14"/>
  <c r="H550" i="14"/>
  <c r="F550" i="14"/>
  <c r="E550" i="14"/>
  <c r="H547" i="14"/>
  <c r="G547" i="14"/>
  <c r="F547" i="14"/>
  <c r="E547" i="14"/>
  <c r="H546" i="14"/>
  <c r="G546" i="14"/>
  <c r="F546" i="14"/>
  <c r="E546" i="14"/>
  <c r="H541" i="14"/>
  <c r="E4" i="14" s="1"/>
  <c r="G541" i="14"/>
  <c r="F541" i="14"/>
  <c r="E541" i="14"/>
  <c r="H540" i="14"/>
  <c r="G540" i="14"/>
  <c r="F540" i="14"/>
  <c r="E540" i="14"/>
  <c r="E538" i="14" s="1"/>
  <c r="H534" i="14"/>
  <c r="G534" i="14"/>
  <c r="F534" i="14"/>
  <c r="E534" i="14"/>
  <c r="H533" i="14"/>
  <c r="G533" i="14"/>
  <c r="F533" i="14"/>
  <c r="E533" i="14"/>
  <c r="H528" i="14"/>
  <c r="H526" i="14" s="1"/>
  <c r="G528" i="14"/>
  <c r="G526" i="14" s="1"/>
  <c r="F528" i="14"/>
  <c r="E528" i="14"/>
  <c r="E526" i="14" s="1"/>
  <c r="H527" i="14"/>
  <c r="G527" i="14"/>
  <c r="G525" i="14" s="1"/>
  <c r="F527" i="14"/>
  <c r="F525" i="14" s="1"/>
  <c r="E527" i="14"/>
  <c r="E525" i="14" s="1"/>
  <c r="H522" i="14"/>
  <c r="G522" i="14"/>
  <c r="F522" i="14"/>
  <c r="E522" i="14"/>
  <c r="H520" i="14"/>
  <c r="H519" i="14" s="1"/>
  <c r="G520" i="14"/>
  <c r="F520" i="14"/>
  <c r="E520" i="14"/>
  <c r="H517" i="14"/>
  <c r="H516" i="14" s="1"/>
  <c r="G517" i="14"/>
  <c r="G516" i="14" s="1"/>
  <c r="F517" i="14"/>
  <c r="E517" i="14"/>
  <c r="E516" i="14" s="1"/>
  <c r="H514" i="14"/>
  <c r="G514" i="14"/>
  <c r="F514" i="14"/>
  <c r="E514" i="14"/>
  <c r="H509" i="14"/>
  <c r="G509" i="14"/>
  <c r="F509" i="14"/>
  <c r="E509" i="14"/>
  <c r="H507" i="14"/>
  <c r="G507" i="14"/>
  <c r="F507" i="14"/>
  <c r="E507" i="14"/>
  <c r="H503" i="14"/>
  <c r="G503" i="14"/>
  <c r="F503" i="14"/>
  <c r="E503" i="14"/>
  <c r="H499" i="14"/>
  <c r="G499" i="14"/>
  <c r="F499" i="14"/>
  <c r="E499" i="14"/>
  <c r="H496" i="14"/>
  <c r="G496" i="14"/>
  <c r="F496" i="14"/>
  <c r="F495" i="14" s="1"/>
  <c r="E496" i="14"/>
  <c r="E495" i="14" s="1"/>
  <c r="H492" i="14"/>
  <c r="H491" i="14" s="1"/>
  <c r="G492" i="14"/>
  <c r="G491" i="14" s="1"/>
  <c r="F492" i="14"/>
  <c r="F491" i="14" s="1"/>
  <c r="E492" i="14"/>
  <c r="E491" i="14" s="1"/>
  <c r="H487" i="14"/>
  <c r="H481" i="14" s="1"/>
  <c r="G487" i="14"/>
  <c r="G481" i="14" s="1"/>
  <c r="F487" i="14"/>
  <c r="E487" i="14"/>
  <c r="E481" i="14" s="1"/>
  <c r="H486" i="14"/>
  <c r="G486" i="14"/>
  <c r="F486" i="14"/>
  <c r="E486" i="14"/>
  <c r="H483" i="14"/>
  <c r="G483" i="14"/>
  <c r="F483" i="14"/>
  <c r="E483" i="14"/>
  <c r="E480" i="14" s="1"/>
  <c r="H482" i="14"/>
  <c r="H479" i="14" s="1"/>
  <c r="G482" i="14"/>
  <c r="G479" i="14" s="1"/>
  <c r="F482" i="14"/>
  <c r="E482" i="14"/>
  <c r="E479" i="14" s="1"/>
  <c r="H476" i="14"/>
  <c r="G476" i="14"/>
  <c r="F476" i="14"/>
  <c r="E476" i="14"/>
  <c r="H475" i="14"/>
  <c r="G475" i="14"/>
  <c r="F475" i="14"/>
  <c r="E475" i="14"/>
  <c r="H472" i="14"/>
  <c r="G472" i="14"/>
  <c r="F472" i="14"/>
  <c r="E472" i="14"/>
  <c r="H471" i="14"/>
  <c r="H469" i="14" s="1"/>
  <c r="G471" i="14"/>
  <c r="G469" i="14" s="1"/>
  <c r="F471" i="14"/>
  <c r="E471" i="14"/>
  <c r="E469" i="14" s="1"/>
  <c r="H466" i="14"/>
  <c r="G466" i="14"/>
  <c r="F466" i="14"/>
  <c r="F465" i="14" s="1"/>
  <c r="E466" i="14"/>
  <c r="E465" i="14" s="1"/>
  <c r="H465" i="14"/>
  <c r="G465" i="14"/>
  <c r="H462" i="14"/>
  <c r="G462" i="14"/>
  <c r="F462" i="14"/>
  <c r="E462" i="14"/>
  <c r="H457" i="14"/>
  <c r="G457" i="14"/>
  <c r="F457" i="14"/>
  <c r="E457" i="14"/>
  <c r="H455" i="14"/>
  <c r="G455" i="14"/>
  <c r="F455" i="14"/>
  <c r="E455" i="14"/>
  <c r="H452" i="14"/>
  <c r="G452" i="14"/>
  <c r="F452" i="14"/>
  <c r="F451" i="14" s="1"/>
  <c r="E452" i="14"/>
  <c r="H448" i="14"/>
  <c r="G448" i="14"/>
  <c r="F448" i="14"/>
  <c r="E448" i="14"/>
  <c r="H446" i="14"/>
  <c r="G446" i="14"/>
  <c r="F446" i="14"/>
  <c r="I446" i="14" s="1"/>
  <c r="H443" i="14"/>
  <c r="G443" i="14"/>
  <c r="F443" i="14"/>
  <c r="E443" i="14"/>
  <c r="H439" i="14"/>
  <c r="H438" i="14" s="1"/>
  <c r="G439" i="14"/>
  <c r="G438" i="14" s="1"/>
  <c r="F439" i="14"/>
  <c r="E439" i="14"/>
  <c r="E438" i="14" s="1"/>
  <c r="H436" i="14"/>
  <c r="H435" i="14" s="1"/>
  <c r="G436" i="14"/>
  <c r="G435" i="14" s="1"/>
  <c r="F436" i="14"/>
  <c r="F435" i="14" s="1"/>
  <c r="E436" i="14"/>
  <c r="E435" i="14" s="1"/>
  <c r="H431" i="14"/>
  <c r="H430" i="14" s="1"/>
  <c r="H428" i="14" s="1"/>
  <c r="G431" i="14"/>
  <c r="G430" i="14" s="1"/>
  <c r="G428" i="14" s="1"/>
  <c r="F431" i="14"/>
  <c r="E431" i="14"/>
  <c r="F430" i="14"/>
  <c r="E430" i="14"/>
  <c r="E428" i="14" s="1"/>
  <c r="H429" i="14"/>
  <c r="G429" i="14"/>
  <c r="F429" i="14"/>
  <c r="E429" i="14"/>
  <c r="H425" i="14"/>
  <c r="G425" i="14"/>
  <c r="F425" i="14"/>
  <c r="E425" i="14"/>
  <c r="H424" i="14"/>
  <c r="H422" i="14" s="1"/>
  <c r="G424" i="14"/>
  <c r="G422" i="14" s="1"/>
  <c r="F424" i="14"/>
  <c r="F422" i="14" s="1"/>
  <c r="E424" i="14"/>
  <c r="E422" i="14" s="1"/>
  <c r="H423" i="14"/>
  <c r="G423" i="14"/>
  <c r="F423" i="14"/>
  <c r="E423" i="14"/>
  <c r="H417" i="14"/>
  <c r="G417" i="14"/>
  <c r="F417" i="14"/>
  <c r="E417" i="14"/>
  <c r="H416" i="14"/>
  <c r="G416" i="14"/>
  <c r="F416" i="14"/>
  <c r="E416" i="14"/>
  <c r="H413" i="14"/>
  <c r="G413" i="14"/>
  <c r="F413" i="14"/>
  <c r="E413" i="14"/>
  <c r="H412" i="14"/>
  <c r="G412" i="14"/>
  <c r="F412" i="14"/>
  <c r="E412" i="14"/>
  <c r="H395" i="14"/>
  <c r="H376" i="14" s="1"/>
  <c r="G395" i="14"/>
  <c r="G376" i="14" s="1"/>
  <c r="F395" i="14"/>
  <c r="I395" i="14" s="1"/>
  <c r="H394" i="14"/>
  <c r="G394" i="14"/>
  <c r="F394" i="14"/>
  <c r="E394" i="14"/>
  <c r="H393" i="14"/>
  <c r="G393" i="14"/>
  <c r="F393" i="14"/>
  <c r="E393" i="14"/>
  <c r="H388" i="14"/>
  <c r="G388" i="14"/>
  <c r="F388" i="14"/>
  <c r="E388" i="14"/>
  <c r="H387" i="14"/>
  <c r="G387" i="14"/>
  <c r="F387" i="14"/>
  <c r="E387" i="14"/>
  <c r="H384" i="14"/>
  <c r="H378" i="14" s="1"/>
  <c r="G384" i="14"/>
  <c r="G378" i="14" s="1"/>
  <c r="F384" i="14"/>
  <c r="I384" i="14" s="1"/>
  <c r="H383" i="14"/>
  <c r="G383" i="14"/>
  <c r="G377" i="14" s="1"/>
  <c r="F383" i="14"/>
  <c r="I383" i="14" s="1"/>
  <c r="F378" i="14"/>
  <c r="I378" i="14" s="1"/>
  <c r="E378" i="14"/>
  <c r="E377" i="14"/>
  <c r="F372" i="14"/>
  <c r="I372" i="14" s="1"/>
  <c r="F371" i="14"/>
  <c r="I371" i="14" s="1"/>
  <c r="F369" i="14"/>
  <c r="I369" i="14" s="1"/>
  <c r="F368" i="14"/>
  <c r="I368" i="14" s="1"/>
  <c r="H366" i="14"/>
  <c r="G366" i="14"/>
  <c r="E366" i="14"/>
  <c r="H365" i="14"/>
  <c r="G365" i="14"/>
  <c r="E365" i="14"/>
  <c r="F363" i="14"/>
  <c r="I363" i="14"/>
  <c r="F362" i="14"/>
  <c r="H360" i="14"/>
  <c r="G360" i="14"/>
  <c r="E360" i="14"/>
  <c r="H359" i="14"/>
  <c r="G359" i="14"/>
  <c r="E359" i="14"/>
  <c r="F358" i="14"/>
  <c r="F356" i="14" s="1"/>
  <c r="F357" i="14"/>
  <c r="F355" i="14" s="1"/>
  <c r="H356" i="14"/>
  <c r="G356" i="14"/>
  <c r="E356" i="14"/>
  <c r="H355" i="14"/>
  <c r="G355" i="14"/>
  <c r="E355" i="14"/>
  <c r="H348" i="14"/>
  <c r="H347" i="14" s="1"/>
  <c r="G348" i="14"/>
  <c r="G347" i="14" s="1"/>
  <c r="F348" i="14"/>
  <c r="F347" i="14" s="1"/>
  <c r="E348" i="14"/>
  <c r="E347" i="14" s="1"/>
  <c r="H343" i="14"/>
  <c r="G343" i="14"/>
  <c r="F343" i="14"/>
  <c r="E343" i="14"/>
  <c r="H341" i="14"/>
  <c r="G341" i="14"/>
  <c r="F341" i="14"/>
  <c r="E341" i="14"/>
  <c r="H334" i="14"/>
  <c r="G334" i="14"/>
  <c r="F334" i="14"/>
  <c r="E334" i="14"/>
  <c r="E332" i="14"/>
  <c r="I332" i="14" s="1"/>
  <c r="H331" i="14"/>
  <c r="G331" i="14"/>
  <c r="F331" i="14"/>
  <c r="E331" i="14"/>
  <c r="E330" i="14"/>
  <c r="I330" i="14" s="1"/>
  <c r="H326" i="14"/>
  <c r="G326" i="14"/>
  <c r="F326" i="14"/>
  <c r="H324" i="14"/>
  <c r="G324" i="14"/>
  <c r="H323" i="14"/>
  <c r="G323" i="14"/>
  <c r="F322" i="14"/>
  <c r="E322" i="14"/>
  <c r="H320" i="14"/>
  <c r="G320" i="14"/>
  <c r="F320" i="14"/>
  <c r="E320" i="14"/>
  <c r="H318" i="14"/>
  <c r="G318" i="14"/>
  <c r="F318" i="14"/>
  <c r="E318" i="14"/>
  <c r="H314" i="14"/>
  <c r="G314" i="14"/>
  <c r="F314" i="14"/>
  <c r="E314" i="14"/>
  <c r="H311" i="14"/>
  <c r="G311" i="14"/>
  <c r="F311" i="14"/>
  <c r="E311" i="14"/>
  <c r="E310" i="14" s="1"/>
  <c r="H307" i="14"/>
  <c r="G307" i="14"/>
  <c r="F307" i="14"/>
  <c r="E307" i="14"/>
  <c r="H305" i="14"/>
  <c r="G305" i="14"/>
  <c r="F305" i="14"/>
  <c r="E305" i="14"/>
  <c r="H296" i="14"/>
  <c r="G296" i="14"/>
  <c r="F296" i="14"/>
  <c r="E296" i="14"/>
  <c r="H294" i="14"/>
  <c r="G294" i="14"/>
  <c r="F294" i="14"/>
  <c r="E294" i="14"/>
  <c r="H291" i="14"/>
  <c r="G291" i="14"/>
  <c r="G290" i="14" s="1"/>
  <c r="F291" i="14"/>
  <c r="E291" i="14"/>
  <c r="H288" i="14"/>
  <c r="H287" i="14" s="1"/>
  <c r="G288" i="14"/>
  <c r="G287" i="14" s="1"/>
  <c r="F288" i="14"/>
  <c r="E288" i="14"/>
  <c r="E287" i="14" s="1"/>
  <c r="H284" i="14"/>
  <c r="H283" i="14" s="1"/>
  <c r="G284" i="14"/>
  <c r="G283" i="14" s="1"/>
  <c r="F284" i="14"/>
  <c r="F283" i="14" s="1"/>
  <c r="E284" i="14"/>
  <c r="E283" i="14" s="1"/>
  <c r="H280" i="14"/>
  <c r="G280" i="14"/>
  <c r="F280" i="14"/>
  <c r="E280" i="14"/>
  <c r="H278" i="14"/>
  <c r="G278" i="14"/>
  <c r="F278" i="14"/>
  <c r="E278" i="14"/>
  <c r="H273" i="14"/>
  <c r="G273" i="14"/>
  <c r="F273" i="14"/>
  <c r="E273" i="14"/>
  <c r="H270" i="14"/>
  <c r="G270" i="14"/>
  <c r="G269" i="14" s="1"/>
  <c r="F270" i="14"/>
  <c r="E270" i="14"/>
  <c r="H266" i="14"/>
  <c r="G266" i="14"/>
  <c r="F266" i="14"/>
  <c r="E266" i="14"/>
  <c r="H264" i="14"/>
  <c r="G264" i="14"/>
  <c r="G263" i="14" s="1"/>
  <c r="F264" i="14"/>
  <c r="F263" i="14" s="1"/>
  <c r="E264" i="14"/>
  <c r="H261" i="14"/>
  <c r="G261" i="14"/>
  <c r="F261" i="14"/>
  <c r="H259" i="14"/>
  <c r="H256" i="14" s="1"/>
  <c r="G259" i="14"/>
  <c r="G256" i="14" s="1"/>
  <c r="F259" i="14"/>
  <c r="F256" i="14" s="1"/>
  <c r="E256" i="14"/>
  <c r="E252" i="14" s="1"/>
  <c r="H253" i="14"/>
  <c r="G253" i="14"/>
  <c r="F253" i="14"/>
  <c r="E253" i="14"/>
  <c r="I253" i="14" s="1"/>
  <c r="H249" i="14"/>
  <c r="G249" i="14"/>
  <c r="F249" i="14"/>
  <c r="E249" i="14"/>
  <c r="H246" i="14"/>
  <c r="G246" i="14"/>
  <c r="G245" i="14" s="1"/>
  <c r="F246" i="14"/>
  <c r="F245" i="14" s="1"/>
  <c r="E246" i="14"/>
  <c r="E245" i="14" s="1"/>
  <c r="H243" i="14"/>
  <c r="H242" i="14" s="1"/>
  <c r="G243" i="14"/>
  <c r="G242" i="14" s="1"/>
  <c r="F243" i="14"/>
  <c r="E243" i="14"/>
  <c r="I243" i="14" s="1"/>
  <c r="H240" i="14"/>
  <c r="H239" i="14" s="1"/>
  <c r="G240" i="14"/>
  <c r="G239" i="14" s="1"/>
  <c r="F240" i="14"/>
  <c r="F239" i="14" s="1"/>
  <c r="E240" i="14"/>
  <c r="E239" i="14" s="1"/>
  <c r="H237" i="14"/>
  <c r="H236" i="14" s="1"/>
  <c r="G237" i="14"/>
  <c r="G236" i="14" s="1"/>
  <c r="F237" i="14"/>
  <c r="F236" i="14" s="1"/>
  <c r="E237" i="14"/>
  <c r="E236" i="14" s="1"/>
  <c r="H233" i="14"/>
  <c r="G233" i="14"/>
  <c r="F233" i="14"/>
  <c r="E233" i="14"/>
  <c r="H224" i="14"/>
  <c r="G224" i="14"/>
  <c r="F224" i="14"/>
  <c r="E224" i="14"/>
  <c r="H220" i="14"/>
  <c r="G220" i="14"/>
  <c r="F220" i="14"/>
  <c r="E220" i="14"/>
  <c r="H215" i="14"/>
  <c r="H214" i="14" s="1"/>
  <c r="G215" i="14"/>
  <c r="F215" i="14"/>
  <c r="E215" i="14"/>
  <c r="H211" i="14"/>
  <c r="G211" i="14"/>
  <c r="F211" i="14"/>
  <c r="E211" i="14"/>
  <c r="H209" i="14"/>
  <c r="G209" i="14"/>
  <c r="F209" i="14"/>
  <c r="E209" i="14"/>
  <c r="I209" i="14" s="1"/>
  <c r="H206" i="14"/>
  <c r="G206" i="14"/>
  <c r="F206" i="14"/>
  <c r="E206" i="14"/>
  <c r="E205" i="14" s="1"/>
  <c r="H201" i="14"/>
  <c r="G201" i="14"/>
  <c r="F201" i="14"/>
  <c r="E201" i="14"/>
  <c r="H200" i="14"/>
  <c r="G200" i="14"/>
  <c r="F200" i="14"/>
  <c r="E200" i="14"/>
  <c r="H194" i="14"/>
  <c r="H191" i="14" s="1"/>
  <c r="G194" i="14"/>
  <c r="F194" i="14"/>
  <c r="E194" i="14"/>
  <c r="I194" i="14" s="1"/>
  <c r="H193" i="14"/>
  <c r="H190" i="14" s="1"/>
  <c r="G193" i="14"/>
  <c r="G190" i="14" s="1"/>
  <c r="F193" i="14"/>
  <c r="F190" i="14" s="1"/>
  <c r="E193" i="14"/>
  <c r="E190" i="14" s="1"/>
  <c r="H192" i="14"/>
  <c r="G192" i="14"/>
  <c r="F192" i="14"/>
  <c r="E192" i="14"/>
  <c r="H186" i="14"/>
  <c r="G186" i="14"/>
  <c r="F186" i="14"/>
  <c r="F184" i="14" s="1"/>
  <c r="E186" i="14"/>
  <c r="E184" i="14" s="1"/>
  <c r="H185" i="14"/>
  <c r="H183" i="14" s="1"/>
  <c r="G185" i="14"/>
  <c r="G183" i="14" s="1"/>
  <c r="F185" i="14"/>
  <c r="E185" i="14"/>
  <c r="E183" i="14" s="1"/>
  <c r="H184" i="14"/>
  <c r="G184" i="14"/>
  <c r="H179" i="14"/>
  <c r="G179" i="14"/>
  <c r="F179" i="14"/>
  <c r="E179" i="14"/>
  <c r="H178" i="14"/>
  <c r="G178" i="14"/>
  <c r="F178" i="14"/>
  <c r="E178" i="14"/>
  <c r="H175" i="14"/>
  <c r="G175" i="14"/>
  <c r="F175" i="14"/>
  <c r="E175" i="14"/>
  <c r="H174" i="14"/>
  <c r="G174" i="14"/>
  <c r="F174" i="14"/>
  <c r="E174" i="14"/>
  <c r="H169" i="14"/>
  <c r="G169" i="14"/>
  <c r="G167" i="14" s="1"/>
  <c r="F169" i="14"/>
  <c r="E169" i="14"/>
  <c r="H168" i="14"/>
  <c r="G168" i="14"/>
  <c r="F168" i="14"/>
  <c r="E168" i="14"/>
  <c r="H163" i="14"/>
  <c r="H161" i="14" s="1"/>
  <c r="G163" i="14"/>
  <c r="G161" i="14" s="1"/>
  <c r="F163" i="14"/>
  <c r="F161" i="14" s="1"/>
  <c r="E163" i="14"/>
  <c r="E161" i="14" s="1"/>
  <c r="H162" i="14"/>
  <c r="H160" i="14" s="1"/>
  <c r="G162" i="14"/>
  <c r="G160" i="14" s="1"/>
  <c r="F162" i="14"/>
  <c r="F160" i="14" s="1"/>
  <c r="E162" i="14"/>
  <c r="E160" i="14" s="1"/>
  <c r="H157" i="14"/>
  <c r="H155" i="14" s="1"/>
  <c r="G157" i="14"/>
  <c r="G155" i="14" s="1"/>
  <c r="F157" i="14"/>
  <c r="F155" i="14" s="1"/>
  <c r="E157" i="14"/>
  <c r="E155" i="14" s="1"/>
  <c r="H156" i="14"/>
  <c r="H154" i="14" s="1"/>
  <c r="G156" i="14"/>
  <c r="G154" i="14" s="1"/>
  <c r="F156" i="14"/>
  <c r="F154" i="14" s="1"/>
  <c r="E156" i="14"/>
  <c r="E154" i="14" s="1"/>
  <c r="H149" i="14"/>
  <c r="G149" i="14"/>
  <c r="F149" i="14"/>
  <c r="E149" i="14"/>
  <c r="H148" i="14"/>
  <c r="G148" i="14"/>
  <c r="F148" i="14"/>
  <c r="E148" i="14"/>
  <c r="H145" i="14"/>
  <c r="G145" i="14"/>
  <c r="F145" i="14"/>
  <c r="E145" i="14"/>
  <c r="H144" i="14"/>
  <c r="G144" i="14"/>
  <c r="F144" i="14"/>
  <c r="E144" i="14"/>
  <c r="H127" i="14"/>
  <c r="G127" i="14"/>
  <c r="F127" i="14"/>
  <c r="E127" i="14"/>
  <c r="H126" i="14"/>
  <c r="G126" i="14"/>
  <c r="F126" i="14"/>
  <c r="E126" i="14"/>
  <c r="H117" i="14"/>
  <c r="G117" i="14"/>
  <c r="F117" i="14"/>
  <c r="E117" i="14"/>
  <c r="H116" i="14"/>
  <c r="G116" i="14"/>
  <c r="F116" i="14"/>
  <c r="E116" i="14"/>
  <c r="G111" i="14"/>
  <c r="G107" i="14" s="1"/>
  <c r="H107" i="14"/>
  <c r="F107" i="14"/>
  <c r="E107" i="14"/>
  <c r="H106" i="14"/>
  <c r="G106" i="14"/>
  <c r="G104" i="14" s="1"/>
  <c r="F106" i="14"/>
  <c r="F104" i="14" s="1"/>
  <c r="E106" i="14"/>
  <c r="H99" i="14"/>
  <c r="G99" i="14"/>
  <c r="F99" i="14"/>
  <c r="E99" i="14"/>
  <c r="H98" i="14"/>
  <c r="G98" i="14"/>
  <c r="F98" i="14"/>
  <c r="E98" i="14"/>
  <c r="H95" i="14"/>
  <c r="G95" i="14"/>
  <c r="F95" i="14"/>
  <c r="E95" i="14"/>
  <c r="H94" i="14"/>
  <c r="G94" i="14"/>
  <c r="F94" i="14"/>
  <c r="E94" i="14"/>
  <c r="H89" i="14"/>
  <c r="H87" i="14" s="1"/>
  <c r="G89" i="14"/>
  <c r="F89" i="14"/>
  <c r="E89" i="14"/>
  <c r="H88" i="14"/>
  <c r="H86" i="14" s="1"/>
  <c r="G88" i="14"/>
  <c r="G86" i="14" s="1"/>
  <c r="F88" i="14"/>
  <c r="E88" i="14"/>
  <c r="H82" i="14"/>
  <c r="H80" i="14" s="1"/>
  <c r="G82" i="14"/>
  <c r="G81" i="14" s="1"/>
  <c r="F82" i="14"/>
  <c r="F80" i="14" s="1"/>
  <c r="E82" i="14"/>
  <c r="E80" i="14" s="1"/>
  <c r="H78" i="14"/>
  <c r="G78" i="14"/>
  <c r="F78" i="14"/>
  <c r="E78" i="14"/>
  <c r="H73" i="14"/>
  <c r="G73" i="14"/>
  <c r="G72" i="14" s="1"/>
  <c r="F73" i="14"/>
  <c r="E73" i="14"/>
  <c r="H70" i="14"/>
  <c r="G70" i="14"/>
  <c r="F70" i="14"/>
  <c r="E70" i="14"/>
  <c r="E67" i="14" s="1"/>
  <c r="H68" i="14"/>
  <c r="G68" i="14"/>
  <c r="F68" i="14"/>
  <c r="H64" i="14"/>
  <c r="H63" i="14" s="1"/>
  <c r="G64" i="14"/>
  <c r="G63" i="14" s="1"/>
  <c r="F64" i="14"/>
  <c r="F63" i="14" s="1"/>
  <c r="E64" i="14"/>
  <c r="E63" i="14" s="1"/>
  <c r="H61" i="14"/>
  <c r="G61" i="14"/>
  <c r="G55" i="14" s="1"/>
  <c r="F61" i="14"/>
  <c r="E55" i="14"/>
  <c r="H53" i="14"/>
  <c r="G53" i="14"/>
  <c r="F53" i="14"/>
  <c r="E53" i="14"/>
  <c r="H47" i="14"/>
  <c r="H41" i="14" s="1"/>
  <c r="G47" i="14"/>
  <c r="G41" i="14" s="1"/>
  <c r="F47" i="14"/>
  <c r="I47" i="14" s="1"/>
  <c r="H42" i="14"/>
  <c r="H30" i="14" s="1"/>
  <c r="H11" i="14" s="1"/>
  <c r="G42" i="14"/>
  <c r="G30" i="14" s="1"/>
  <c r="F42" i="14"/>
  <c r="F30" i="14" s="1"/>
  <c r="E41" i="14"/>
  <c r="H36" i="14"/>
  <c r="G36" i="14"/>
  <c r="F36" i="14"/>
  <c r="E36" i="14"/>
  <c r="H31" i="14"/>
  <c r="G31" i="14"/>
  <c r="F31" i="14"/>
  <c r="E31" i="14"/>
  <c r="H26" i="14"/>
  <c r="G26" i="14"/>
  <c r="F26" i="14"/>
  <c r="E26" i="14"/>
  <c r="H24" i="14"/>
  <c r="G24" i="14"/>
  <c r="F24" i="14"/>
  <c r="E24" i="14"/>
  <c r="H20" i="14"/>
  <c r="G20" i="14"/>
  <c r="G19" i="14" s="1"/>
  <c r="F20" i="14"/>
  <c r="E20" i="14"/>
  <c r="H16" i="14"/>
  <c r="G16" i="14"/>
  <c r="F16" i="14"/>
  <c r="E16" i="14"/>
  <c r="H14" i="14"/>
  <c r="G14" i="14"/>
  <c r="F14" i="14"/>
  <c r="E14" i="14"/>
  <c r="H13" i="14"/>
  <c r="G13" i="14"/>
  <c r="F13" i="14"/>
  <c r="E13" i="14"/>
  <c r="H12" i="14"/>
  <c r="G12" i="14"/>
  <c r="F12" i="14"/>
  <c r="E12" i="14"/>
  <c r="F11" i="14"/>
  <c r="E11" i="14"/>
  <c r="H10" i="14"/>
  <c r="G10" i="14"/>
  <c r="F10" i="14"/>
  <c r="E10" i="14"/>
  <c r="H9" i="14"/>
  <c r="G9" i="14"/>
  <c r="F9" i="14"/>
  <c r="E9" i="14"/>
  <c r="H8" i="14"/>
  <c r="G8" i="14"/>
  <c r="F8" i="14"/>
  <c r="E8" i="14"/>
  <c r="H7" i="14"/>
  <c r="G7" i="14"/>
  <c r="F7" i="14"/>
  <c r="E7" i="14"/>
  <c r="H6" i="14"/>
  <c r="G6" i="14"/>
  <c r="F6" i="14"/>
  <c r="E6" i="14"/>
  <c r="E3" i="14"/>
  <c r="I259" i="14"/>
  <c r="F481" i="14"/>
  <c r="H55" i="14"/>
  <c r="I357" i="14"/>
  <c r="I358" i="14"/>
  <c r="H310" i="14"/>
  <c r="H166" i="14"/>
  <c r="G191" i="14"/>
  <c r="E451" i="14"/>
  <c r="F428" i="14"/>
  <c r="H19" i="14"/>
  <c r="H167" i="14"/>
  <c r="H104" i="14"/>
  <c r="F105" i="14"/>
  <c r="F242" i="14"/>
  <c r="I242" i="14" s="1"/>
  <c r="F360" i="14"/>
  <c r="F516" i="14"/>
  <c r="F489" i="12"/>
  <c r="E490" i="12"/>
  <c r="E515" i="12"/>
  <c r="F515" i="12"/>
  <c r="F513" i="12" s="1"/>
  <c r="E516" i="12"/>
  <c r="E514" i="12" s="1"/>
  <c r="F412" i="12"/>
  <c r="F408" i="12" s="1"/>
  <c r="F522" i="12"/>
  <c r="F520" i="12" s="1"/>
  <c r="E522" i="12"/>
  <c r="F521" i="12"/>
  <c r="F519" i="12" s="1"/>
  <c r="E521" i="12"/>
  <c r="F471" i="12"/>
  <c r="F363" i="12"/>
  <c r="E363" i="12"/>
  <c r="F317" i="12"/>
  <c r="F316" i="12"/>
  <c r="E11" i="12"/>
  <c r="F11" i="12"/>
  <c r="E393" i="12"/>
  <c r="F393" i="12"/>
  <c r="F7" i="12"/>
  <c r="E63" i="12"/>
  <c r="E62" i="12" s="1"/>
  <c r="F63" i="12"/>
  <c r="F62" i="12" s="1"/>
  <c r="F359" i="12"/>
  <c r="F358" i="12"/>
  <c r="F355" i="12"/>
  <c r="F354" i="12"/>
  <c r="F339" i="12"/>
  <c r="F338" i="12"/>
  <c r="E325" i="12"/>
  <c r="F325" i="12"/>
  <c r="F324" i="12"/>
  <c r="F320" i="12"/>
  <c r="E321" i="12"/>
  <c r="E315" i="12" s="1"/>
  <c r="F321" i="12"/>
  <c r="F107" i="12"/>
  <c r="F108" i="12"/>
  <c r="E85" i="12"/>
  <c r="E84" i="12" s="1"/>
  <c r="F85" i="12"/>
  <c r="F84" i="12" s="1"/>
  <c r="E24" i="12"/>
  <c r="F24" i="12"/>
  <c r="F21" i="12"/>
  <c r="F460" i="12"/>
  <c r="F461" i="12"/>
  <c r="E10" i="12"/>
  <c r="E30" i="12"/>
  <c r="E35" i="12"/>
  <c r="E52" i="12"/>
  <c r="E54" i="12"/>
  <c r="F30" i="12"/>
  <c r="F35" i="12"/>
  <c r="F52" i="12"/>
  <c r="F54" i="12"/>
  <c r="E225" i="12"/>
  <c r="F225" i="12"/>
  <c r="F224" i="12" s="1"/>
  <c r="E310" i="12"/>
  <c r="E309" i="12" s="1"/>
  <c r="F310" i="12"/>
  <c r="F309" i="12" s="1"/>
  <c r="E297" i="12"/>
  <c r="F297" i="12"/>
  <c r="E289" i="12"/>
  <c r="F289" i="12"/>
  <c r="F284" i="12"/>
  <c r="E277" i="12"/>
  <c r="F277" i="12"/>
  <c r="E264" i="12"/>
  <c r="F264" i="12"/>
  <c r="F263" i="12" s="1"/>
  <c r="E260" i="12"/>
  <c r="F260" i="12"/>
  <c r="E258" i="12"/>
  <c r="F258" i="12"/>
  <c r="E253" i="12"/>
  <c r="F253" i="12"/>
  <c r="E233" i="12"/>
  <c r="F233" i="12"/>
  <c r="E222" i="12"/>
  <c r="F222" i="12"/>
  <c r="F221" i="12" s="1"/>
  <c r="F204" i="12"/>
  <c r="F199" i="12"/>
  <c r="E175" i="12"/>
  <c r="F175" i="12"/>
  <c r="F128" i="12"/>
  <c r="F118" i="12"/>
  <c r="F117" i="12"/>
  <c r="F92" i="12"/>
  <c r="F98" i="12"/>
  <c r="F97" i="12"/>
  <c r="F91" i="12"/>
  <c r="E404" i="12"/>
  <c r="E402" i="12" s="1"/>
  <c r="F404" i="12"/>
  <c r="F402" i="12" s="1"/>
  <c r="E403" i="12"/>
  <c r="E401" i="12" s="1"/>
  <c r="F403" i="12"/>
  <c r="F401" i="12" s="1"/>
  <c r="F410" i="12"/>
  <c r="F407" i="12" s="1"/>
  <c r="F413" i="12"/>
  <c r="F409" i="12" s="1"/>
  <c r="E418" i="12"/>
  <c r="E417" i="12" s="1"/>
  <c r="F418" i="12"/>
  <c r="F417" i="12" s="1"/>
  <c r="E445" i="12"/>
  <c r="E444" i="12" s="1"/>
  <c r="F445" i="12"/>
  <c r="F444" i="12" s="1"/>
  <c r="E442" i="12"/>
  <c r="E441" i="12" s="1"/>
  <c r="F442" i="12"/>
  <c r="F441" i="12" s="1"/>
  <c r="E439" i="12"/>
  <c r="F439" i="12"/>
  <c r="E436" i="12"/>
  <c r="F436" i="12"/>
  <c r="E434" i="12"/>
  <c r="F434" i="12"/>
  <c r="F430" i="12"/>
  <c r="F427" i="12"/>
  <c r="F365" i="12"/>
  <c r="F364" i="12" s="1"/>
  <c r="F362" i="12" s="1"/>
  <c r="F187" i="12"/>
  <c r="F180" i="12"/>
  <c r="F178" i="12" s="1"/>
  <c r="F181" i="12"/>
  <c r="F174" i="12"/>
  <c r="E170" i="12"/>
  <c r="E162" i="12" s="1"/>
  <c r="F170" i="12"/>
  <c r="F169" i="12"/>
  <c r="F164" i="12"/>
  <c r="F163" i="12"/>
  <c r="E158" i="12"/>
  <c r="E156" i="12" s="1"/>
  <c r="F158" i="12"/>
  <c r="F156" i="12" s="1"/>
  <c r="E157" i="12"/>
  <c r="E155" i="12" s="1"/>
  <c r="F157" i="12"/>
  <c r="F155" i="12" s="1"/>
  <c r="E152" i="12"/>
  <c r="E150" i="12" s="1"/>
  <c r="F152" i="12"/>
  <c r="F150" i="12" s="1"/>
  <c r="E151" i="12"/>
  <c r="E149" i="12" s="1"/>
  <c r="F151" i="12"/>
  <c r="F149" i="12" s="1"/>
  <c r="F370" i="12"/>
  <c r="F369" i="12" s="1"/>
  <c r="E370" i="12"/>
  <c r="E369" i="12" s="1"/>
  <c r="F305" i="12"/>
  <c r="E305" i="12"/>
  <c r="F303" i="12"/>
  <c r="E303" i="12"/>
  <c r="F294" i="12"/>
  <c r="E294" i="12"/>
  <c r="F228" i="12"/>
  <c r="F227" i="12" s="1"/>
  <c r="E228" i="12"/>
  <c r="F194" i="12"/>
  <c r="F29" i="10"/>
  <c r="G29" i="10"/>
  <c r="E29" i="10"/>
  <c r="F33" i="10"/>
  <c r="G33" i="10"/>
  <c r="E33" i="10"/>
  <c r="F38" i="10"/>
  <c r="G38" i="10"/>
  <c r="E38" i="10"/>
  <c r="F35" i="10"/>
  <c r="G35" i="10"/>
  <c r="E35" i="10"/>
  <c r="F26" i="10"/>
  <c r="G26" i="10"/>
  <c r="E26" i="10"/>
  <c r="F23" i="10"/>
  <c r="G23" i="10"/>
  <c r="E23" i="10"/>
  <c r="E19" i="10"/>
  <c r="F19" i="10"/>
  <c r="G19" i="10"/>
  <c r="F14" i="10"/>
  <c r="G14" i="10"/>
  <c r="E14" i="10"/>
  <c r="F13" i="10"/>
  <c r="G13" i="10"/>
  <c r="E13" i="10"/>
  <c r="F5" i="10"/>
  <c r="G5" i="10"/>
  <c r="E5" i="10"/>
  <c r="F248" i="3"/>
  <c r="G248" i="3"/>
  <c r="E248" i="3"/>
  <c r="F7" i="3"/>
  <c r="G7" i="3"/>
  <c r="E7" i="3"/>
  <c r="K230" i="3"/>
  <c r="J230" i="3"/>
  <c r="H11" i="11"/>
  <c r="I11" i="11"/>
  <c r="G11" i="11"/>
  <c r="H9" i="11"/>
  <c r="I9" i="11"/>
  <c r="G9" i="11"/>
  <c r="H12" i="11"/>
  <c r="I12" i="11"/>
  <c r="G12" i="11"/>
  <c r="H39" i="11"/>
  <c r="I39" i="11"/>
  <c r="G39" i="11"/>
  <c r="H52" i="11"/>
  <c r="I52" i="11"/>
  <c r="G52" i="11"/>
  <c r="I104" i="11"/>
  <c r="G5" i="11"/>
  <c r="H327" i="11"/>
  <c r="I327" i="11"/>
  <c r="G327" i="11"/>
  <c r="H320" i="11"/>
  <c r="I320" i="11"/>
  <c r="G320" i="11"/>
  <c r="G6" i="11"/>
  <c r="H243" i="11"/>
  <c r="I243" i="11"/>
  <c r="H246" i="11"/>
  <c r="I246" i="11"/>
  <c r="H240" i="11"/>
  <c r="I240" i="11"/>
  <c r="G240" i="11"/>
  <c r="H233" i="11"/>
  <c r="I233" i="11"/>
  <c r="G233" i="11"/>
  <c r="G176" i="11"/>
  <c r="I176" i="11"/>
  <c r="H176" i="11"/>
  <c r="F8" i="7"/>
  <c r="G6" i="7"/>
  <c r="H6" i="7"/>
  <c r="F6" i="7"/>
  <c r="F31" i="4"/>
  <c r="F6" i="4"/>
  <c r="E24" i="2"/>
  <c r="E15" i="2"/>
  <c r="E4" i="2"/>
  <c r="E57" i="2"/>
  <c r="E59" i="2" s="1"/>
  <c r="I338" i="11"/>
  <c r="H338" i="11"/>
  <c r="G338" i="11"/>
  <c r="E338" i="11"/>
  <c r="D338" i="11"/>
  <c r="I336" i="11"/>
  <c r="H336" i="11"/>
  <c r="G336" i="11"/>
  <c r="E336" i="11"/>
  <c r="E335" i="11" s="1"/>
  <c r="D336" i="11"/>
  <c r="I333" i="11"/>
  <c r="H333" i="11"/>
  <c r="G333" i="11"/>
  <c r="E333" i="11"/>
  <c r="D333" i="11"/>
  <c r="I330" i="11"/>
  <c r="H330" i="11"/>
  <c r="G330" i="11"/>
  <c r="E330" i="11"/>
  <c r="D330" i="11"/>
  <c r="E327" i="11"/>
  <c r="D327" i="11"/>
  <c r="D326" i="11"/>
  <c r="D324" i="11"/>
  <c r="E320" i="11"/>
  <c r="I317" i="11"/>
  <c r="H317" i="11"/>
  <c r="G317" i="11"/>
  <c r="E317" i="11"/>
  <c r="D317" i="11"/>
  <c r="I314" i="11"/>
  <c r="H314" i="11"/>
  <c r="G314" i="11"/>
  <c r="E314" i="11"/>
  <c r="D314" i="11"/>
  <c r="D311" i="11"/>
  <c r="D309" i="11"/>
  <c r="I309" i="11"/>
  <c r="H309" i="11"/>
  <c r="G309" i="11"/>
  <c r="E309" i="11"/>
  <c r="I306" i="11"/>
  <c r="H306" i="11"/>
  <c r="G306" i="11"/>
  <c r="E306" i="11"/>
  <c r="D306" i="11"/>
  <c r="D304" i="11"/>
  <c r="D303" i="11" s="1"/>
  <c r="I303" i="11"/>
  <c r="H303" i="11"/>
  <c r="G303" i="11"/>
  <c r="E303" i="11"/>
  <c r="D302" i="11"/>
  <c r="D301" i="11"/>
  <c r="D300" i="11"/>
  <c r="D299" i="11" s="1"/>
  <c r="I299" i="11"/>
  <c r="H299" i="11"/>
  <c r="G299" i="11"/>
  <c r="E299" i="11"/>
  <c r="D298" i="11"/>
  <c r="D297" i="11"/>
  <c r="I297" i="11"/>
  <c r="H297" i="11"/>
  <c r="G297" i="11"/>
  <c r="E297" i="11"/>
  <c r="D296" i="11"/>
  <c r="D295" i="11"/>
  <c r="D294" i="11"/>
  <c r="D293" i="11"/>
  <c r="D292" i="11"/>
  <c r="D291" i="11"/>
  <c r="I290" i="11"/>
  <c r="H290" i="11"/>
  <c r="G290" i="11"/>
  <c r="E290" i="11"/>
  <c r="D289" i="11"/>
  <c r="D288" i="11"/>
  <c r="D287" i="11" s="1"/>
  <c r="I287" i="11"/>
  <c r="H287" i="11"/>
  <c r="G287" i="11"/>
  <c r="E287" i="11"/>
  <c r="D286" i="11"/>
  <c r="D285" i="11"/>
  <c r="D284" i="11"/>
  <c r="D283" i="11"/>
  <c r="I282" i="11"/>
  <c r="H282" i="11"/>
  <c r="G282" i="11"/>
  <c r="E282" i="11"/>
  <c r="D281" i="11"/>
  <c r="D280" i="11"/>
  <c r="D279" i="11" s="1"/>
  <c r="I279" i="11"/>
  <c r="H279" i="11"/>
  <c r="G279" i="11"/>
  <c r="E279" i="11"/>
  <c r="I277" i="11"/>
  <c r="H277" i="11"/>
  <c r="G277" i="11"/>
  <c r="E277" i="11"/>
  <c r="D277" i="11"/>
  <c r="D276" i="11"/>
  <c r="D275" i="11" s="1"/>
  <c r="I275" i="11"/>
  <c r="H275" i="11"/>
  <c r="G275" i="11"/>
  <c r="E275" i="11"/>
  <c r="I271" i="11"/>
  <c r="H271" i="11"/>
  <c r="G271" i="11"/>
  <c r="E271" i="11"/>
  <c r="D271" i="11"/>
  <c r="D269" i="11"/>
  <c r="D13" i="11" s="1"/>
  <c r="I268" i="11"/>
  <c r="H268" i="11"/>
  <c r="G268" i="11"/>
  <c r="E268" i="11"/>
  <c r="I266" i="11"/>
  <c r="H266" i="11"/>
  <c r="G266" i="11"/>
  <c r="E266" i="11"/>
  <c r="D266" i="11"/>
  <c r="I257" i="11"/>
  <c r="H257" i="11"/>
  <c r="G257" i="11"/>
  <c r="E257" i="11"/>
  <c r="D257" i="11"/>
  <c r="I255" i="11"/>
  <c r="H255" i="11"/>
  <c r="G255" i="11"/>
  <c r="E255" i="11"/>
  <c r="D255" i="11"/>
  <c r="I251" i="11"/>
  <c r="H251" i="11"/>
  <c r="G251" i="11"/>
  <c r="E251" i="11"/>
  <c r="D251" i="11"/>
  <c r="G246" i="11"/>
  <c r="E246" i="11"/>
  <c r="D246" i="11"/>
  <c r="G243" i="11"/>
  <c r="E243" i="11"/>
  <c r="D243" i="11"/>
  <c r="E240" i="11"/>
  <c r="D240" i="11"/>
  <c r="E233" i="11"/>
  <c r="D233" i="11"/>
  <c r="I230" i="11"/>
  <c r="H230" i="11"/>
  <c r="G230" i="11"/>
  <c r="E230" i="11"/>
  <c r="D230" i="11"/>
  <c r="D229" i="11" s="1"/>
  <c r="I227" i="11"/>
  <c r="H227" i="11"/>
  <c r="G227" i="11"/>
  <c r="E227" i="11"/>
  <c r="D227" i="11"/>
  <c r="I224" i="11"/>
  <c r="H224" i="11"/>
  <c r="G224" i="11"/>
  <c r="E224" i="11"/>
  <c r="D224" i="11"/>
  <c r="D223" i="11"/>
  <c r="D222" i="11"/>
  <c r="D221" i="11" s="1"/>
  <c r="I221" i="11"/>
  <c r="H221" i="11"/>
  <c r="G221" i="11"/>
  <c r="E221" i="11"/>
  <c r="E218" i="11" s="1"/>
  <c r="I219" i="11"/>
  <c r="H219" i="11"/>
  <c r="G219" i="11"/>
  <c r="D219" i="11"/>
  <c r="I216" i="11"/>
  <c r="H216" i="11"/>
  <c r="G216" i="11"/>
  <c r="E216" i="11"/>
  <c r="D216" i="11"/>
  <c r="I214" i="11"/>
  <c r="H214" i="11"/>
  <c r="G214" i="11"/>
  <c r="E214" i="11"/>
  <c r="D214" i="11"/>
  <c r="I212" i="11"/>
  <c r="H212" i="11"/>
  <c r="G212" i="11"/>
  <c r="E212" i="11"/>
  <c r="D212" i="11"/>
  <c r="I210" i="11"/>
  <c r="H210" i="11"/>
  <c r="G210" i="11"/>
  <c r="F210" i="11"/>
  <c r="E210" i="11"/>
  <c r="D210" i="11"/>
  <c r="I208" i="11"/>
  <c r="H208" i="11"/>
  <c r="G208" i="11"/>
  <c r="E208" i="11"/>
  <c r="D208" i="11"/>
  <c r="I199" i="11"/>
  <c r="H199" i="11"/>
  <c r="G199" i="11"/>
  <c r="E199" i="11"/>
  <c r="D199" i="11"/>
  <c r="I196" i="11"/>
  <c r="H196" i="11"/>
  <c r="G196" i="11"/>
  <c r="E196" i="11"/>
  <c r="D196" i="11"/>
  <c r="I192" i="11"/>
  <c r="H192" i="11"/>
  <c r="G192" i="11"/>
  <c r="E192" i="11"/>
  <c r="D192" i="11"/>
  <c r="D191" i="11"/>
  <c r="D190" i="11"/>
  <c r="G189" i="11"/>
  <c r="E189" i="11"/>
  <c r="I187" i="11"/>
  <c r="H187" i="11"/>
  <c r="G187" i="11"/>
  <c r="E187" i="11"/>
  <c r="D187" i="11"/>
  <c r="H185" i="11"/>
  <c r="H184" i="11" s="1"/>
  <c r="H190" i="11" s="1"/>
  <c r="D185" i="11"/>
  <c r="D184" i="11" s="1"/>
  <c r="G184" i="11"/>
  <c r="E184" i="11"/>
  <c r="I180" i="11"/>
  <c r="H180" i="11"/>
  <c r="G180" i="11"/>
  <c r="D176" i="11"/>
  <c r="I174" i="11"/>
  <c r="H174" i="11"/>
  <c r="G174" i="11"/>
  <c r="F174" i="11"/>
  <c r="E174" i="11"/>
  <c r="D174" i="11"/>
  <c r="D172" i="11"/>
  <c r="D170" i="11" s="1"/>
  <c r="I170" i="11"/>
  <c r="H170" i="11"/>
  <c r="G170" i="11"/>
  <c r="E170" i="11"/>
  <c r="I167" i="11"/>
  <c r="H167" i="11"/>
  <c r="G167" i="11"/>
  <c r="E167" i="11"/>
  <c r="D167" i="11"/>
  <c r="D164" i="11"/>
  <c r="D162" i="11"/>
  <c r="I162" i="11"/>
  <c r="H162" i="11"/>
  <c r="G162" i="11"/>
  <c r="E162" i="11"/>
  <c r="D161" i="11"/>
  <c r="D159" i="11"/>
  <c r="I159" i="11"/>
  <c r="H159" i="11"/>
  <c r="G159" i="11"/>
  <c r="E159" i="11"/>
  <c r="I156" i="11"/>
  <c r="H156" i="11"/>
  <c r="G156" i="11"/>
  <c r="E156" i="11"/>
  <c r="D156" i="11"/>
  <c r="D155" i="11"/>
  <c r="D151" i="11" s="1"/>
  <c r="I151" i="11"/>
  <c r="H151" i="11"/>
  <c r="G151" i="11"/>
  <c r="E151" i="11"/>
  <c r="D150" i="11"/>
  <c r="D148" i="11" s="1"/>
  <c r="I148" i="11"/>
  <c r="H148" i="11"/>
  <c r="G148" i="11"/>
  <c r="E148" i="11"/>
  <c r="D145" i="11"/>
  <c r="D141" i="11"/>
  <c r="D137" i="11"/>
  <c r="D133" i="11"/>
  <c r="I131" i="11"/>
  <c r="H131" i="11"/>
  <c r="G131" i="11"/>
  <c r="E131" i="11"/>
  <c r="D130" i="11"/>
  <c r="D128" i="11"/>
  <c r="I124" i="11"/>
  <c r="H124" i="11"/>
  <c r="G124" i="11"/>
  <c r="E124" i="11"/>
  <c r="I117" i="11"/>
  <c r="H117" i="11"/>
  <c r="G117" i="11"/>
  <c r="E117" i="11"/>
  <c r="D117" i="11"/>
  <c r="D116" i="11"/>
  <c r="D114" i="11"/>
  <c r="I112" i="11"/>
  <c r="H112" i="11"/>
  <c r="G112" i="11"/>
  <c r="E112" i="11"/>
  <c r="I109" i="11"/>
  <c r="H109" i="11"/>
  <c r="G109" i="11"/>
  <c r="E109" i="11"/>
  <c r="D109" i="11"/>
  <c r="D106" i="11"/>
  <c r="D105" i="11"/>
  <c r="D5" i="11" s="1"/>
  <c r="H104" i="11"/>
  <c r="G104" i="11"/>
  <c r="E104" i="11"/>
  <c r="D102" i="11"/>
  <c r="D100" i="11" s="1"/>
  <c r="D99" i="11" s="1"/>
  <c r="I100" i="11"/>
  <c r="I99" i="11" s="1"/>
  <c r="H100" i="11"/>
  <c r="H99" i="11" s="1"/>
  <c r="G100" i="11"/>
  <c r="G99" i="11" s="1"/>
  <c r="E100" i="11"/>
  <c r="E99" i="11" s="1"/>
  <c r="I97" i="11"/>
  <c r="H97" i="11"/>
  <c r="G97" i="11"/>
  <c r="E97" i="11"/>
  <c r="D97" i="11"/>
  <c r="I95" i="11"/>
  <c r="H95" i="11"/>
  <c r="G95" i="11"/>
  <c r="E95" i="11"/>
  <c r="D95" i="11"/>
  <c r="D93" i="11"/>
  <c r="D92" i="11" s="1"/>
  <c r="I92" i="11"/>
  <c r="H92" i="11"/>
  <c r="G92" i="11"/>
  <c r="E92" i="11"/>
  <c r="I90" i="11"/>
  <c r="H90" i="11"/>
  <c r="G90" i="11"/>
  <c r="E90" i="11"/>
  <c r="D90" i="11"/>
  <c r="D87" i="11"/>
  <c r="D85" i="11" s="1"/>
  <c r="I85" i="11"/>
  <c r="H85" i="11"/>
  <c r="G85" i="11"/>
  <c r="E85" i="11"/>
  <c r="D84" i="11"/>
  <c r="D82" i="11" s="1"/>
  <c r="I82" i="11"/>
  <c r="H82" i="11"/>
  <c r="G82" i="11"/>
  <c r="E82" i="11"/>
  <c r="I78" i="11"/>
  <c r="H78" i="11"/>
  <c r="G78" i="11"/>
  <c r="E78" i="11"/>
  <c r="D78" i="11"/>
  <c r="I75" i="11"/>
  <c r="H75" i="11"/>
  <c r="G75" i="11"/>
  <c r="E75" i="11"/>
  <c r="E74" i="11" s="1"/>
  <c r="D75" i="11"/>
  <c r="I72" i="11"/>
  <c r="H72" i="11"/>
  <c r="G72" i="11"/>
  <c r="E72" i="11"/>
  <c r="D72" i="11"/>
  <c r="I70" i="11"/>
  <c r="H70" i="11"/>
  <c r="G70" i="11"/>
  <c r="E70" i="11"/>
  <c r="D70" i="11"/>
  <c r="I67" i="11"/>
  <c r="H67" i="11"/>
  <c r="G67" i="11"/>
  <c r="E67" i="11"/>
  <c r="D67" i="11"/>
  <c r="I65" i="11"/>
  <c r="H65" i="11"/>
  <c r="G65" i="11"/>
  <c r="E65" i="11"/>
  <c r="D65" i="11"/>
  <c r="I63" i="11"/>
  <c r="H63" i="11"/>
  <c r="G63" i="11"/>
  <c r="I60" i="11"/>
  <c r="H60" i="11"/>
  <c r="G60" i="11"/>
  <c r="E60" i="11"/>
  <c r="D60" i="11"/>
  <c r="D58" i="11"/>
  <c r="D52" i="11" s="1"/>
  <c r="E52" i="11"/>
  <c r="I49" i="11"/>
  <c r="H49" i="11"/>
  <c r="G49" i="11"/>
  <c r="E49" i="11"/>
  <c r="D49" i="11"/>
  <c r="D46" i="11"/>
  <c r="D39" i="11" s="1"/>
  <c r="E39" i="11"/>
  <c r="I34" i="11"/>
  <c r="H34" i="11"/>
  <c r="G34" i="11"/>
  <c r="E34" i="11"/>
  <c r="D34" i="11"/>
  <c r="I28" i="11"/>
  <c r="H28" i="11"/>
  <c r="G28" i="11"/>
  <c r="E28" i="11"/>
  <c r="D28" i="11"/>
  <c r="I25" i="11"/>
  <c r="H25" i="11"/>
  <c r="G25" i="11"/>
  <c r="E25" i="11"/>
  <c r="D25" i="11"/>
  <c r="I23" i="11"/>
  <c r="H23" i="11"/>
  <c r="G23" i="11"/>
  <c r="E23" i="11"/>
  <c r="D23" i="11"/>
  <c r="D22" i="11"/>
  <c r="D19" i="11" s="1"/>
  <c r="I19" i="11"/>
  <c r="H19" i="11"/>
  <c r="G19" i="11"/>
  <c r="E19" i="11"/>
  <c r="G16" i="11"/>
  <c r="E16" i="11"/>
  <c r="I15" i="11"/>
  <c r="H15" i="11"/>
  <c r="G15" i="11"/>
  <c r="E15" i="11"/>
  <c r="D15" i="11"/>
  <c r="I14" i="11"/>
  <c r="H14" i="11"/>
  <c r="G14" i="11"/>
  <c r="E14" i="11"/>
  <c r="D14" i="11"/>
  <c r="I13" i="11"/>
  <c r="H13" i="11"/>
  <c r="G13" i="11"/>
  <c r="E13" i="11"/>
  <c r="E12" i="11"/>
  <c r="D12" i="11"/>
  <c r="E11" i="11"/>
  <c r="D11" i="11"/>
  <c r="I10" i="11"/>
  <c r="H10" i="11"/>
  <c r="G10" i="11"/>
  <c r="D10" i="11"/>
  <c r="D9" i="11"/>
  <c r="I8" i="11"/>
  <c r="H8" i="11"/>
  <c r="G8" i="11"/>
  <c r="I6" i="11"/>
  <c r="H6" i="11"/>
  <c r="I5" i="11"/>
  <c r="H5" i="11"/>
  <c r="E5" i="11"/>
  <c r="I4" i="11"/>
  <c r="H4" i="11"/>
  <c r="G4" i="11"/>
  <c r="E4" i="11"/>
  <c r="D189" i="11"/>
  <c r="H218" i="11"/>
  <c r="G74" i="11"/>
  <c r="D173" i="11"/>
  <c r="I184" i="11"/>
  <c r="I191" i="11" s="1"/>
  <c r="G6" i="4"/>
  <c r="H6" i="4"/>
  <c r="G31" i="4"/>
  <c r="H31" i="4"/>
  <c r="F13" i="3"/>
  <c r="G13" i="3"/>
  <c r="E13" i="3"/>
  <c r="F14" i="3"/>
  <c r="G14" i="3"/>
  <c r="E14" i="3"/>
  <c r="E295" i="3"/>
  <c r="F293" i="3"/>
  <c r="G293" i="3"/>
  <c r="E293" i="3"/>
  <c r="E259" i="3"/>
  <c r="E257" i="3"/>
  <c r="E255" i="3"/>
  <c r="F255" i="3"/>
  <c r="G255" i="3"/>
  <c r="E4" i="3"/>
  <c r="F224" i="3"/>
  <c r="G224" i="3"/>
  <c r="E224" i="3"/>
  <c r="F238" i="3"/>
  <c r="G238" i="3"/>
  <c r="E238" i="3"/>
  <c r="F272" i="3"/>
  <c r="G272" i="3"/>
  <c r="E272" i="3"/>
  <c r="F12" i="3"/>
  <c r="G12" i="3"/>
  <c r="E12" i="3"/>
  <c r="F4" i="3"/>
  <c r="G4" i="3"/>
  <c r="F10" i="3"/>
  <c r="G10" i="3"/>
  <c r="E10" i="3"/>
  <c r="F3" i="3"/>
  <c r="G3" i="3"/>
  <c r="E3" i="3"/>
  <c r="F30" i="3"/>
  <c r="G30" i="3"/>
  <c r="E30" i="3"/>
  <c r="F34" i="3"/>
  <c r="G34" i="3"/>
  <c r="E34" i="3"/>
  <c r="F105" i="3"/>
  <c r="F104" i="3" s="1"/>
  <c r="G105" i="3"/>
  <c r="G104" i="3" s="1"/>
  <c r="E105" i="3"/>
  <c r="E104" i="3" s="1"/>
  <c r="F164" i="3"/>
  <c r="F163" i="3" s="1"/>
  <c r="G164" i="3"/>
  <c r="G163" i="3" s="1"/>
  <c r="E164" i="3"/>
  <c r="E163" i="3" s="1"/>
  <c r="F306" i="3"/>
  <c r="G306" i="3"/>
  <c r="E306" i="3"/>
  <c r="F303" i="3"/>
  <c r="G303" i="3"/>
  <c r="E303" i="3"/>
  <c r="F309" i="3"/>
  <c r="G309" i="3"/>
  <c r="E309" i="3"/>
  <c r="E131" i="3"/>
  <c r="F131" i="3"/>
  <c r="G131" i="3"/>
  <c r="F8" i="3"/>
  <c r="G8" i="3"/>
  <c r="E8" i="3"/>
  <c r="F240" i="3"/>
  <c r="G240" i="3"/>
  <c r="E240" i="3"/>
  <c r="F50" i="3"/>
  <c r="G50" i="3"/>
  <c r="E50" i="3"/>
  <c r="F291" i="3"/>
  <c r="G291" i="3"/>
  <c r="E291" i="3"/>
  <c r="F295" i="3"/>
  <c r="G295" i="3"/>
  <c r="F349" i="3"/>
  <c r="G349" i="3"/>
  <c r="E349" i="3"/>
  <c r="E123" i="3"/>
  <c r="F135" i="3"/>
  <c r="F134" i="3" s="1"/>
  <c r="G135" i="3"/>
  <c r="G134" i="3" s="1"/>
  <c r="F226" i="3"/>
  <c r="G226" i="3"/>
  <c r="E226" i="3"/>
  <c r="F229" i="3"/>
  <c r="G229" i="3"/>
  <c r="E229" i="3"/>
  <c r="F232" i="3"/>
  <c r="G232" i="3"/>
  <c r="E232" i="3"/>
  <c r="G298" i="3"/>
  <c r="F298" i="3"/>
  <c r="E298" i="3"/>
  <c r="G288" i="3"/>
  <c r="F288" i="3"/>
  <c r="E288" i="3"/>
  <c r="G283" i="3"/>
  <c r="F283" i="3"/>
  <c r="E283" i="3"/>
  <c r="G279" i="3"/>
  <c r="F279" i="3"/>
  <c r="E279" i="3"/>
  <c r="G268" i="3"/>
  <c r="F268" i="3"/>
  <c r="E268" i="3"/>
  <c r="E252" i="3"/>
  <c r="G265" i="3"/>
  <c r="F265" i="3"/>
  <c r="E265" i="3"/>
  <c r="G263" i="3"/>
  <c r="F263" i="3"/>
  <c r="E263" i="3"/>
  <c r="G261" i="3"/>
  <c r="F261" i="3"/>
  <c r="E261" i="3"/>
  <c r="G259" i="3"/>
  <c r="F259" i="3"/>
  <c r="G257" i="3"/>
  <c r="F257" i="3"/>
  <c r="G252" i="3"/>
  <c r="F252" i="3"/>
  <c r="F57" i="2"/>
  <c r="F59" i="2" s="1"/>
  <c r="G57" i="2"/>
  <c r="G59" i="2" s="1"/>
  <c r="F51" i="2"/>
  <c r="G51" i="2"/>
  <c r="E51" i="2"/>
  <c r="F24" i="2"/>
  <c r="G24" i="2"/>
  <c r="F342" i="3"/>
  <c r="F341" i="3" s="1"/>
  <c r="G342" i="3"/>
  <c r="G341" i="3" s="1"/>
  <c r="E342" i="3"/>
  <c r="E146" i="3"/>
  <c r="F146" i="3"/>
  <c r="G146" i="3"/>
  <c r="F57" i="3"/>
  <c r="G57" i="3"/>
  <c r="E57" i="3"/>
  <c r="F45" i="3"/>
  <c r="G45" i="3"/>
  <c r="E45" i="3"/>
  <c r="G169" i="3"/>
  <c r="E9" i="3"/>
  <c r="E11" i="3"/>
  <c r="E6" i="3"/>
  <c r="E327" i="3"/>
  <c r="E321" i="3"/>
  <c r="E316" i="3"/>
  <c r="E243" i="3"/>
  <c r="E235" i="3"/>
  <c r="E215" i="3"/>
  <c r="E197" i="3"/>
  <c r="E190" i="3"/>
  <c r="E181" i="3"/>
  <c r="E176" i="3"/>
  <c r="E169" i="3"/>
  <c r="E135" i="3"/>
  <c r="E134" i="3" s="1"/>
  <c r="E115" i="3"/>
  <c r="E114" i="3" s="1"/>
  <c r="E98" i="3"/>
  <c r="E97" i="3" s="1"/>
  <c r="E20" i="3"/>
  <c r="E17" i="3"/>
  <c r="F9" i="3"/>
  <c r="G9" i="3"/>
  <c r="F123" i="3"/>
  <c r="G123" i="3"/>
  <c r="G11" i="3"/>
  <c r="F169" i="3"/>
  <c r="F181" i="3"/>
  <c r="G181" i="3"/>
  <c r="F190" i="3"/>
  <c r="G190" i="3"/>
  <c r="F197" i="3"/>
  <c r="G197" i="3"/>
  <c r="F212" i="3"/>
  <c r="G212" i="3"/>
  <c r="E212" i="3"/>
  <c r="F215" i="3"/>
  <c r="G215" i="3"/>
  <c r="F243" i="3"/>
  <c r="G243" i="3"/>
  <c r="F327" i="3"/>
  <c r="G327" i="3"/>
  <c r="F325" i="3"/>
  <c r="G325" i="3"/>
  <c r="E325" i="3"/>
  <c r="F332" i="3"/>
  <c r="G332" i="3"/>
  <c r="E332" i="3"/>
  <c r="F334" i="3"/>
  <c r="G334" i="3"/>
  <c r="E334" i="3"/>
  <c r="G57" i="7"/>
  <c r="H57" i="7"/>
  <c r="F57" i="7"/>
  <c r="F119" i="3"/>
  <c r="G119" i="3"/>
  <c r="E119" i="3"/>
  <c r="F6" i="3"/>
  <c r="G6" i="3"/>
  <c r="G115" i="3"/>
  <c r="G114" i="3" s="1"/>
  <c r="F115" i="3"/>
  <c r="F114" i="3" s="1"/>
  <c r="F128" i="3"/>
  <c r="G128" i="3"/>
  <c r="E128" i="3"/>
  <c r="F98" i="3"/>
  <c r="F97" i="3" s="1"/>
  <c r="G98" i="3"/>
  <c r="G97" i="3" s="1"/>
  <c r="H6" i="15"/>
  <c r="G6" i="15"/>
  <c r="F6" i="15"/>
  <c r="H3" i="15"/>
  <c r="G3" i="15"/>
  <c r="F3" i="15"/>
  <c r="D3" i="15"/>
  <c r="D5" i="15" s="1"/>
  <c r="D6" i="15"/>
  <c r="H62" i="15"/>
  <c r="G62" i="15"/>
  <c r="F62" i="15"/>
  <c r="D62" i="15"/>
  <c r="H60" i="15"/>
  <c r="G60" i="15"/>
  <c r="F60" i="15"/>
  <c r="D60" i="15"/>
  <c r="H54" i="15"/>
  <c r="G54" i="15"/>
  <c r="F54" i="15"/>
  <c r="D54" i="15"/>
  <c r="H48" i="15"/>
  <c r="G48" i="15"/>
  <c r="F48" i="15"/>
  <c r="D48" i="15"/>
  <c r="H46" i="15"/>
  <c r="G46" i="15"/>
  <c r="F46" i="15"/>
  <c r="D46" i="15"/>
  <c r="H31" i="15"/>
  <c r="G31" i="15"/>
  <c r="F31" i="15"/>
  <c r="D31" i="15"/>
  <c r="H25" i="15"/>
  <c r="G25" i="15"/>
  <c r="F25" i="15"/>
  <c r="D25" i="15"/>
  <c r="H18" i="15"/>
  <c r="G18" i="15"/>
  <c r="F18" i="15"/>
  <c r="D18" i="15"/>
  <c r="H15" i="15"/>
  <c r="G15" i="15"/>
  <c r="F15" i="15"/>
  <c r="D15" i="15"/>
  <c r="H13" i="15"/>
  <c r="G13" i="15"/>
  <c r="F13" i="15"/>
  <c r="D13" i="15"/>
  <c r="H11" i="15"/>
  <c r="H10" i="15" s="1"/>
  <c r="G11" i="15"/>
  <c r="G10" i="15" s="1"/>
  <c r="F11" i="15"/>
  <c r="F10" i="15" s="1"/>
  <c r="D11" i="15"/>
  <c r="D10" i="15" s="1"/>
  <c r="G114" i="6"/>
  <c r="H114" i="6"/>
  <c r="F114" i="6"/>
  <c r="F4" i="6"/>
  <c r="F8" i="6"/>
  <c r="H117" i="6"/>
  <c r="G117" i="6"/>
  <c r="F117" i="6"/>
  <c r="H115" i="6"/>
  <c r="G115" i="6"/>
  <c r="F115" i="6"/>
  <c r="H112" i="6"/>
  <c r="G112" i="6"/>
  <c r="F112" i="6"/>
  <c r="H110" i="6"/>
  <c r="G110" i="6"/>
  <c r="F110" i="6"/>
  <c r="H106" i="6"/>
  <c r="G106" i="6"/>
  <c r="F106" i="6"/>
  <c r="H102" i="6"/>
  <c r="G102" i="6"/>
  <c r="G98" i="6" s="1"/>
  <c r="F102" i="6"/>
  <c r="H99" i="6"/>
  <c r="G99" i="6"/>
  <c r="F99" i="6"/>
  <c r="H96" i="6"/>
  <c r="G96" i="6"/>
  <c r="F96" i="6"/>
  <c r="H94" i="6"/>
  <c r="G94" i="6"/>
  <c r="F94" i="6"/>
  <c r="H90" i="6"/>
  <c r="G90" i="6"/>
  <c r="F90" i="6"/>
  <c r="H88" i="6"/>
  <c r="G88" i="6"/>
  <c r="F88" i="6"/>
  <c r="H84" i="6"/>
  <c r="G84" i="6"/>
  <c r="F84" i="6"/>
  <c r="H80" i="6"/>
  <c r="G80" i="6"/>
  <c r="F80" i="6"/>
  <c r="H77" i="6"/>
  <c r="G77" i="6"/>
  <c r="G76" i="6" s="1"/>
  <c r="F77" i="6"/>
  <c r="H73" i="6"/>
  <c r="G73" i="6"/>
  <c r="F73" i="6"/>
  <c r="H69" i="6"/>
  <c r="G69" i="6"/>
  <c r="F69" i="6"/>
  <c r="H66" i="6"/>
  <c r="G66" i="6"/>
  <c r="F66" i="6"/>
  <c r="H62" i="6"/>
  <c r="G62" i="6"/>
  <c r="G57" i="6" s="1"/>
  <c r="F62" i="6"/>
  <c r="H58" i="6"/>
  <c r="G58" i="6"/>
  <c r="F58" i="6"/>
  <c r="H55" i="6"/>
  <c r="G55" i="6"/>
  <c r="F55" i="6"/>
  <c r="H53" i="6"/>
  <c r="G53" i="6"/>
  <c r="F53" i="6"/>
  <c r="H49" i="6"/>
  <c r="G49" i="6"/>
  <c r="F49" i="6"/>
  <c r="H43" i="6"/>
  <c r="G43" i="6"/>
  <c r="F43" i="6"/>
  <c r="H33" i="6"/>
  <c r="G33" i="6"/>
  <c r="F33" i="6"/>
  <c r="H28" i="6"/>
  <c r="G28" i="6"/>
  <c r="F28" i="6"/>
  <c r="H23" i="6"/>
  <c r="G23" i="6"/>
  <c r="F23" i="6"/>
  <c r="H20" i="6"/>
  <c r="G20" i="6"/>
  <c r="F20" i="6"/>
  <c r="H18" i="6"/>
  <c r="G18" i="6"/>
  <c r="F18" i="6"/>
  <c r="H14" i="6"/>
  <c r="G14" i="6"/>
  <c r="F14" i="6"/>
  <c r="H76" i="6"/>
  <c r="D6" i="9"/>
  <c r="G61" i="9"/>
  <c r="F61" i="9"/>
  <c r="D61" i="9"/>
  <c r="H71" i="8"/>
  <c r="G71" i="8"/>
  <c r="F71" i="8"/>
  <c r="E71" i="8"/>
  <c r="D71" i="8"/>
  <c r="H69" i="8"/>
  <c r="G69" i="8"/>
  <c r="F69" i="8"/>
  <c r="E69" i="8"/>
  <c r="D69" i="8"/>
  <c r="H67" i="8"/>
  <c r="G67" i="8"/>
  <c r="F67" i="8"/>
  <c r="E67" i="8"/>
  <c r="D67" i="8"/>
  <c r="H65" i="8"/>
  <c r="G65" i="8"/>
  <c r="F65" i="8"/>
  <c r="F64" i="8" s="1"/>
  <c r="D65" i="8"/>
  <c r="H61" i="8"/>
  <c r="G61" i="8"/>
  <c r="F61" i="8"/>
  <c r="F7" i="8" s="1"/>
  <c r="D61" i="8"/>
  <c r="D7" i="8" s="1"/>
  <c r="H58" i="8"/>
  <c r="H4" i="8" s="1"/>
  <c r="G58" i="8"/>
  <c r="F58" i="8"/>
  <c r="D58" i="8"/>
  <c r="H54" i="8"/>
  <c r="G54" i="8"/>
  <c r="F54" i="8"/>
  <c r="D54" i="8"/>
  <c r="H50" i="8"/>
  <c r="G50" i="8"/>
  <c r="F50" i="8"/>
  <c r="D50" i="8"/>
  <c r="H42" i="8"/>
  <c r="G42" i="8"/>
  <c r="F42" i="8"/>
  <c r="D42" i="8"/>
  <c r="H32" i="8"/>
  <c r="G32" i="8"/>
  <c r="F32" i="8"/>
  <c r="D32" i="8"/>
  <c r="H26" i="8"/>
  <c r="G26" i="8"/>
  <c r="F26" i="8"/>
  <c r="D26" i="8"/>
  <c r="H22" i="8"/>
  <c r="G22" i="8"/>
  <c r="F22" i="8"/>
  <c r="D22" i="8"/>
  <c r="H19" i="8"/>
  <c r="G19" i="8"/>
  <c r="F19" i="8"/>
  <c r="D19" i="8"/>
  <c r="H17" i="8"/>
  <c r="G17" i="8"/>
  <c r="F17" i="8"/>
  <c r="D17" i="8"/>
  <c r="H14" i="8"/>
  <c r="G14" i="8"/>
  <c r="G13" i="8" s="1"/>
  <c r="F14" i="8"/>
  <c r="D14" i="8"/>
  <c r="D13" i="8"/>
  <c r="H125" i="4"/>
  <c r="G125" i="4"/>
  <c r="F125" i="4"/>
  <c r="D125" i="4"/>
  <c r="H123" i="4"/>
  <c r="H122" i="4" s="1"/>
  <c r="H12" i="4" s="1"/>
  <c r="G123" i="4"/>
  <c r="G122" i="4" s="1"/>
  <c r="G12" i="4" s="1"/>
  <c r="F123" i="4"/>
  <c r="F122" i="4" s="1"/>
  <c r="F12" i="4" s="1"/>
  <c r="D123" i="4"/>
  <c r="D122" i="4" s="1"/>
  <c r="D12" i="4" s="1"/>
  <c r="H120" i="4"/>
  <c r="H119" i="4" s="1"/>
  <c r="G120" i="4"/>
  <c r="G119" i="4" s="1"/>
  <c r="F120" i="4"/>
  <c r="F119" i="4" s="1"/>
  <c r="D120" i="4"/>
  <c r="D119" i="4" s="1"/>
  <c r="H117" i="4"/>
  <c r="H116" i="4" s="1"/>
  <c r="G117" i="4"/>
  <c r="G116" i="4" s="1"/>
  <c r="G8" i="4" s="1"/>
  <c r="F117" i="4"/>
  <c r="F116" i="4" s="1"/>
  <c r="D117" i="4"/>
  <c r="D116" i="4" s="1"/>
  <c r="D8" i="4" s="1"/>
  <c r="H114" i="4"/>
  <c r="G114" i="4"/>
  <c r="F114" i="4"/>
  <c r="D114" i="4"/>
  <c r="H112" i="4"/>
  <c r="H111" i="4" s="1"/>
  <c r="G112" i="4"/>
  <c r="G111" i="4" s="1"/>
  <c r="F112" i="4"/>
  <c r="F111" i="4" s="1"/>
  <c r="D112" i="4"/>
  <c r="D111" i="4" s="1"/>
  <c r="H109" i="4"/>
  <c r="H108" i="4" s="1"/>
  <c r="G109" i="4"/>
  <c r="G108" i="4" s="1"/>
  <c r="F109" i="4"/>
  <c r="F108" i="4" s="1"/>
  <c r="D109" i="4"/>
  <c r="D108" i="4" s="1"/>
  <c r="H106" i="4"/>
  <c r="G106" i="4"/>
  <c r="G105" i="4" s="1"/>
  <c r="F106" i="4"/>
  <c r="F105" i="4" s="1"/>
  <c r="D106" i="4"/>
  <c r="D105" i="4" s="1"/>
  <c r="H105" i="4"/>
  <c r="H103" i="4"/>
  <c r="G103" i="4"/>
  <c r="F103" i="4"/>
  <c r="D103" i="4"/>
  <c r="H100" i="4"/>
  <c r="G100" i="4"/>
  <c r="F100" i="4"/>
  <c r="D100" i="4"/>
  <c r="H97" i="4"/>
  <c r="G97" i="4"/>
  <c r="F97" i="4"/>
  <c r="D97" i="4"/>
  <c r="H89" i="4"/>
  <c r="G89" i="4"/>
  <c r="F89" i="4"/>
  <c r="D89" i="4"/>
  <c r="H85" i="4"/>
  <c r="G85" i="4"/>
  <c r="F85" i="4"/>
  <c r="D85" i="4"/>
  <c r="H82" i="4"/>
  <c r="G82" i="4"/>
  <c r="G81" i="4" s="1"/>
  <c r="F82" i="4"/>
  <c r="D82" i="4"/>
  <c r="D81" i="4" s="1"/>
  <c r="H79" i="4"/>
  <c r="G79" i="4"/>
  <c r="F79" i="4"/>
  <c r="D79" i="4"/>
  <c r="H77" i="4"/>
  <c r="H76" i="4" s="1"/>
  <c r="G77" i="4"/>
  <c r="F77" i="4"/>
  <c r="D77" i="4"/>
  <c r="H74" i="4"/>
  <c r="G74" i="4"/>
  <c r="F74" i="4"/>
  <c r="D74" i="4"/>
  <c r="H69" i="4"/>
  <c r="H68" i="4" s="1"/>
  <c r="G69" i="4"/>
  <c r="F69" i="4"/>
  <c r="D69" i="4"/>
  <c r="D68" i="4" s="1"/>
  <c r="H66" i="4"/>
  <c r="H65" i="4" s="1"/>
  <c r="G66" i="4"/>
  <c r="G65" i="4" s="1"/>
  <c r="F66" i="4"/>
  <c r="F65" i="4"/>
  <c r="D66" i="4"/>
  <c r="D65" i="4" s="1"/>
  <c r="H63" i="4"/>
  <c r="H62" i="4" s="1"/>
  <c r="G63" i="4"/>
  <c r="G62" i="4" s="1"/>
  <c r="F63" i="4"/>
  <c r="F62" i="4" s="1"/>
  <c r="D63" i="4"/>
  <c r="D62" i="4" s="1"/>
  <c r="H60" i="4"/>
  <c r="H59" i="4"/>
  <c r="G60" i="4"/>
  <c r="G59" i="4" s="1"/>
  <c r="F60" i="4"/>
  <c r="F59" i="4"/>
  <c r="D60" i="4"/>
  <c r="D59" i="4" s="1"/>
  <c r="H57" i="4"/>
  <c r="G57" i="4"/>
  <c r="F57" i="4"/>
  <c r="D57" i="4"/>
  <c r="H52" i="4"/>
  <c r="G52" i="4"/>
  <c r="F52" i="4"/>
  <c r="D52" i="4"/>
  <c r="H49" i="4"/>
  <c r="G49" i="4"/>
  <c r="F49" i="4"/>
  <c r="D49" i="4"/>
  <c r="H42" i="4"/>
  <c r="G42" i="4"/>
  <c r="F42" i="4"/>
  <c r="D42" i="4"/>
  <c r="H40" i="4"/>
  <c r="G40" i="4"/>
  <c r="F40" i="4"/>
  <c r="D40" i="4"/>
  <c r="D31" i="4"/>
  <c r="H26" i="4"/>
  <c r="G26" i="4"/>
  <c r="F26" i="4"/>
  <c r="D26" i="4"/>
  <c r="H22" i="4"/>
  <c r="G22" i="4"/>
  <c r="F22" i="4"/>
  <c r="D22" i="4"/>
  <c r="H19" i="4"/>
  <c r="G19" i="4"/>
  <c r="F19" i="4"/>
  <c r="D19" i="4"/>
  <c r="H17" i="4"/>
  <c r="G17" i="4"/>
  <c r="F17" i="4"/>
  <c r="D17" i="4"/>
  <c r="H15" i="4"/>
  <c r="G15" i="4"/>
  <c r="F15" i="4"/>
  <c r="D15" i="4"/>
  <c r="G76" i="4"/>
  <c r="F76" i="4"/>
  <c r="G346" i="3"/>
  <c r="G345" i="3" s="1"/>
  <c r="D339" i="3"/>
  <c r="E339" i="3"/>
  <c r="E337" i="3"/>
  <c r="F321" i="3"/>
  <c r="G321" i="3"/>
  <c r="D319" i="3"/>
  <c r="E319" i="3"/>
  <c r="F319" i="3"/>
  <c r="G319" i="3"/>
  <c r="F316" i="3"/>
  <c r="G316" i="3"/>
  <c r="D314" i="3"/>
  <c r="E314" i="3"/>
  <c r="F314" i="3"/>
  <c r="G314" i="3"/>
  <c r="D11" i="3"/>
  <c r="F11" i="3"/>
  <c r="E93" i="3"/>
  <c r="F84" i="3"/>
  <c r="G84" i="3"/>
  <c r="E84" i="3"/>
  <c r="F68" i="3"/>
  <c r="G68" i="3"/>
  <c r="E68" i="3"/>
  <c r="E7" i="15"/>
  <c r="G5" i="15"/>
  <c r="F36" i="2"/>
  <c r="F4" i="2"/>
  <c r="G4" i="2"/>
  <c r="F351" i="3"/>
  <c r="G351" i="3"/>
  <c r="F337" i="3"/>
  <c r="G337" i="3"/>
  <c r="F339" i="3"/>
  <c r="G339" i="3"/>
  <c r="D93" i="3"/>
  <c r="F93" i="3"/>
  <c r="G93" i="3"/>
  <c r="E95" i="3"/>
  <c r="F95" i="3"/>
  <c r="G95" i="3"/>
  <c r="G36" i="2"/>
  <c r="E351" i="3"/>
  <c r="F346" i="3"/>
  <c r="F345" i="3" s="1"/>
  <c r="E346" i="3"/>
  <c r="E345" i="3" s="1"/>
  <c r="E341" i="3"/>
  <c r="D51" i="2"/>
  <c r="G39" i="2"/>
  <c r="F39" i="2"/>
  <c r="E39" i="2"/>
  <c r="D39" i="2"/>
  <c r="G7" i="8"/>
  <c r="F66" i="9"/>
  <c r="F8" i="9" s="1"/>
  <c r="F59" i="9"/>
  <c r="F57" i="9"/>
  <c r="F56" i="9" s="1"/>
  <c r="F53" i="9"/>
  <c r="F50" i="9"/>
  <c r="F43" i="9"/>
  <c r="F41" i="9"/>
  <c r="F32" i="9"/>
  <c r="F26" i="9"/>
  <c r="F22" i="9"/>
  <c r="F19" i="9"/>
  <c r="F17" i="9"/>
  <c r="F14" i="9"/>
  <c r="G64" i="5"/>
  <c r="G63" i="5" s="1"/>
  <c r="G61" i="5"/>
  <c r="G59" i="5"/>
  <c r="G54" i="5"/>
  <c r="G50" i="5"/>
  <c r="G43" i="5"/>
  <c r="G33" i="5"/>
  <c r="G27" i="5"/>
  <c r="G23" i="5"/>
  <c r="G20" i="5"/>
  <c r="G13" i="5" s="1"/>
  <c r="G18" i="5"/>
  <c r="G14" i="5"/>
  <c r="F74" i="7"/>
  <c r="F72" i="7"/>
  <c r="F71" i="7" s="1"/>
  <c r="F69" i="7"/>
  <c r="F68" i="7" s="1"/>
  <c r="F66" i="7"/>
  <c r="F62" i="7"/>
  <c r="F59" i="7"/>
  <c r="F56" i="7" s="1"/>
  <c r="F52" i="7"/>
  <c r="F45" i="7"/>
  <c r="F35" i="7"/>
  <c r="F27" i="7"/>
  <c r="F22" i="7"/>
  <c r="F19" i="7"/>
  <c r="F17" i="7"/>
  <c r="F14" i="7"/>
  <c r="H4" i="6"/>
  <c r="F61" i="7"/>
  <c r="D117" i="6"/>
  <c r="D115" i="6"/>
  <c r="E36" i="2"/>
  <c r="E32" i="2"/>
  <c r="E28" i="2"/>
  <c r="E22" i="2"/>
  <c r="G90" i="3"/>
  <c r="G67" i="9"/>
  <c r="G66" i="9" s="1"/>
  <c r="G8" i="9" s="1"/>
  <c r="G59" i="9"/>
  <c r="G57" i="9"/>
  <c r="G53" i="9"/>
  <c r="G50" i="9"/>
  <c r="G43" i="9"/>
  <c r="G41" i="9"/>
  <c r="G32" i="9"/>
  <c r="G26" i="9"/>
  <c r="G22" i="9"/>
  <c r="G19" i="9"/>
  <c r="G17" i="9"/>
  <c r="G14" i="9"/>
  <c r="F4" i="8"/>
  <c r="G74" i="7"/>
  <c r="G72" i="7"/>
  <c r="G69" i="7"/>
  <c r="G68" i="7"/>
  <c r="G66" i="7"/>
  <c r="G62" i="7"/>
  <c r="G59" i="7"/>
  <c r="G56" i="7"/>
  <c r="G52" i="7"/>
  <c r="G45" i="7"/>
  <c r="G35" i="7"/>
  <c r="G27" i="7"/>
  <c r="G22" i="7"/>
  <c r="G19" i="7"/>
  <c r="G17" i="7"/>
  <c r="G14" i="7"/>
  <c r="G8" i="7"/>
  <c r="F64" i="5"/>
  <c r="F63" i="5" s="1"/>
  <c r="F61" i="5"/>
  <c r="F59" i="5"/>
  <c r="F54" i="5"/>
  <c r="F50" i="5"/>
  <c r="F43" i="5"/>
  <c r="F33" i="5"/>
  <c r="F27" i="5"/>
  <c r="F23" i="5"/>
  <c r="F20" i="5"/>
  <c r="F18" i="5"/>
  <c r="F14" i="5"/>
  <c r="D112" i="6"/>
  <c r="D110" i="6"/>
  <c r="D106" i="6"/>
  <c r="D102" i="6"/>
  <c r="D99" i="6"/>
  <c r="D98" i="6" s="1"/>
  <c r="D96" i="6"/>
  <c r="D94" i="6"/>
  <c r="D90" i="6"/>
  <c r="D88" i="6"/>
  <c r="D84" i="6"/>
  <c r="D80" i="6"/>
  <c r="D77" i="6"/>
  <c r="D73" i="6"/>
  <c r="D69" i="6"/>
  <c r="D65" i="6" s="1"/>
  <c r="D66" i="6"/>
  <c r="D62" i="6"/>
  <c r="D58" i="6"/>
  <c r="D57" i="6" s="1"/>
  <c r="D55" i="6"/>
  <c r="D53" i="6"/>
  <c r="D49" i="6"/>
  <c r="D43" i="6"/>
  <c r="D33" i="6"/>
  <c r="D28" i="6"/>
  <c r="D23" i="6"/>
  <c r="D20" i="6"/>
  <c r="D18" i="6"/>
  <c r="D14" i="6"/>
  <c r="D64" i="5"/>
  <c r="D63" i="5"/>
  <c r="D61" i="5"/>
  <c r="D59" i="5"/>
  <c r="D54" i="5"/>
  <c r="D50" i="5"/>
  <c r="D43" i="5"/>
  <c r="D33" i="5"/>
  <c r="D27" i="5"/>
  <c r="D23" i="5"/>
  <c r="D20" i="5"/>
  <c r="D18" i="5"/>
  <c r="D14" i="5"/>
  <c r="D87" i="6"/>
  <c r="D67" i="9"/>
  <c r="D66" i="9"/>
  <c r="D8" i="9" s="1"/>
  <c r="D59" i="9"/>
  <c r="D57" i="9"/>
  <c r="D56" i="9" s="1"/>
  <c r="D53" i="9"/>
  <c r="D50" i="9"/>
  <c r="D43" i="9"/>
  <c r="D41" i="9"/>
  <c r="D32" i="9"/>
  <c r="D26" i="9"/>
  <c r="D22" i="9"/>
  <c r="D19" i="9"/>
  <c r="D17" i="9"/>
  <c r="D14" i="9"/>
  <c r="D74" i="7"/>
  <c r="D72" i="7"/>
  <c r="D69" i="7"/>
  <c r="D68" i="7" s="1"/>
  <c r="D66" i="7"/>
  <c r="D62" i="7"/>
  <c r="D61" i="7" s="1"/>
  <c r="D59" i="7"/>
  <c r="D56" i="7" s="1"/>
  <c r="D52" i="7"/>
  <c r="D45" i="7"/>
  <c r="D35" i="7"/>
  <c r="D27" i="7"/>
  <c r="D22" i="7"/>
  <c r="D19" i="7"/>
  <c r="D17" i="7"/>
  <c r="D14" i="7"/>
  <c r="D8" i="7"/>
  <c r="D6" i="7"/>
  <c r="D13" i="9"/>
  <c r="F42" i="3"/>
  <c r="F25" i="3"/>
  <c r="H8" i="7"/>
  <c r="H22" i="7"/>
  <c r="G25" i="3"/>
  <c r="E25" i="3"/>
  <c r="H7" i="8"/>
  <c r="H45" i="7"/>
  <c r="H27" i="7"/>
  <c r="H54" i="5"/>
  <c r="H67" i="9"/>
  <c r="H66" i="9" s="1"/>
  <c r="H8" i="9" s="1"/>
  <c r="F28" i="2"/>
  <c r="F15" i="2"/>
  <c r="F176" i="3"/>
  <c r="F235" i="3"/>
  <c r="F157" i="3"/>
  <c r="G157" i="3"/>
  <c r="F62" i="3"/>
  <c r="F54" i="3"/>
  <c r="G42" i="3"/>
  <c r="F17" i="3"/>
  <c r="G17" i="3"/>
  <c r="F22" i="3"/>
  <c r="G22" i="3"/>
  <c r="G32" i="2"/>
  <c r="G28" i="2"/>
  <c r="G22" i="2"/>
  <c r="G21" i="2" s="1"/>
  <c r="G15" i="2"/>
  <c r="G235" i="3"/>
  <c r="G176" i="3"/>
  <c r="G160" i="3"/>
  <c r="F160" i="3"/>
  <c r="E160" i="3"/>
  <c r="E157" i="3"/>
  <c r="G143" i="3"/>
  <c r="F143" i="3"/>
  <c r="E143" i="3"/>
  <c r="G121" i="3"/>
  <c r="F121" i="3"/>
  <c r="E121" i="3"/>
  <c r="G112" i="3"/>
  <c r="G111" i="3" s="1"/>
  <c r="F112" i="3"/>
  <c r="F111" i="3" s="1"/>
  <c r="E112" i="3"/>
  <c r="E111" i="3" s="1"/>
  <c r="G109" i="3"/>
  <c r="G108" i="3" s="1"/>
  <c r="F109" i="3"/>
  <c r="F108" i="3" s="1"/>
  <c r="E109" i="3"/>
  <c r="E108" i="3" s="1"/>
  <c r="G89" i="3"/>
  <c r="F90" i="3"/>
  <c r="F89" i="3" s="1"/>
  <c r="E90" i="3"/>
  <c r="E89" i="3" s="1"/>
  <c r="G87" i="3"/>
  <c r="F87" i="3"/>
  <c r="E87" i="3"/>
  <c r="G81" i="3"/>
  <c r="F81" i="3"/>
  <c r="E81" i="3"/>
  <c r="G77" i="3"/>
  <c r="F77" i="3"/>
  <c r="E77" i="3"/>
  <c r="G73" i="3"/>
  <c r="F73" i="3"/>
  <c r="E73" i="3"/>
  <c r="G66" i="3"/>
  <c r="F66" i="3"/>
  <c r="E66" i="3"/>
  <c r="G62" i="3"/>
  <c r="E62" i="3"/>
  <c r="G54" i="3"/>
  <c r="E54" i="3"/>
  <c r="E42" i="3"/>
  <c r="E22" i="3"/>
  <c r="G20" i="3"/>
  <c r="F20" i="3"/>
  <c r="H14" i="5"/>
  <c r="H19" i="7"/>
  <c r="D36" i="2"/>
  <c r="F32" i="2"/>
  <c r="D32" i="2"/>
  <c r="D28" i="2"/>
  <c r="D24" i="2"/>
  <c r="D21" i="2" s="1"/>
  <c r="F22" i="2"/>
  <c r="F21" i="2" s="1"/>
  <c r="D22" i="2"/>
  <c r="D15" i="2"/>
  <c r="D4" i="2"/>
  <c r="H64" i="5"/>
  <c r="H63" i="5"/>
  <c r="H61" i="5"/>
  <c r="H59" i="5"/>
  <c r="H50" i="5"/>
  <c r="H43" i="5"/>
  <c r="H33" i="5"/>
  <c r="H27" i="5"/>
  <c r="H23" i="5"/>
  <c r="H20" i="5"/>
  <c r="H18" i="5"/>
  <c r="H58" i="5"/>
  <c r="H59" i="9"/>
  <c r="H57" i="9"/>
  <c r="H53" i="9"/>
  <c r="H50" i="9"/>
  <c r="H43" i="9"/>
  <c r="H41" i="9"/>
  <c r="H32" i="9"/>
  <c r="H26" i="9"/>
  <c r="H22" i="9"/>
  <c r="H19" i="9"/>
  <c r="H17" i="9"/>
  <c r="H14" i="9"/>
  <c r="H74" i="7"/>
  <c r="H72" i="7"/>
  <c r="H69" i="7"/>
  <c r="H68" i="7" s="1"/>
  <c r="H66" i="7"/>
  <c r="H61" i="7" s="1"/>
  <c r="H62" i="7"/>
  <c r="H59" i="7"/>
  <c r="H56" i="7" s="1"/>
  <c r="H52" i="7"/>
  <c r="H35" i="7"/>
  <c r="H17" i="7"/>
  <c r="H14" i="7"/>
  <c r="H13" i="7"/>
  <c r="F162" i="12" l="1"/>
  <c r="E3" i="13"/>
  <c r="G17" i="12"/>
  <c r="F5" i="12"/>
  <c r="F4" i="12"/>
  <c r="G5" i="12"/>
  <c r="G6" i="12" s="1"/>
  <c r="F283" i="12"/>
  <c r="G526" i="12"/>
  <c r="E4" i="12"/>
  <c r="G525" i="12"/>
  <c r="E5" i="12"/>
  <c r="E472" i="12"/>
  <c r="E466" i="12" s="1"/>
  <c r="E17" i="12"/>
  <c r="F526" i="12"/>
  <c r="F525" i="12"/>
  <c r="E373" i="12"/>
  <c r="F373" i="12"/>
  <c r="G373" i="12"/>
  <c r="G16" i="12"/>
  <c r="E267" i="12"/>
  <c r="E266" i="12" s="1"/>
  <c r="E16" i="12"/>
  <c r="F16" i="12"/>
  <c r="F267" i="12"/>
  <c r="F266" i="12" s="1"/>
  <c r="G267" i="12"/>
  <c r="G266" i="12" s="1"/>
  <c r="F161" i="12"/>
  <c r="G162" i="12"/>
  <c r="G161" i="12"/>
  <c r="F105" i="12"/>
  <c r="F106" i="12"/>
  <c r="G106" i="12"/>
  <c r="E102" i="12"/>
  <c r="E90" i="12" s="1"/>
  <c r="F102" i="12"/>
  <c r="F90" i="12" s="1"/>
  <c r="G101" i="12"/>
  <c r="G89" i="12" s="1"/>
  <c r="F101" i="12"/>
  <c r="F89" i="12" s="1"/>
  <c r="G102" i="12"/>
  <c r="G90" i="12" s="1"/>
  <c r="E101" i="12"/>
  <c r="E89" i="12" s="1"/>
  <c r="G40" i="12"/>
  <c r="G28" i="12" s="1"/>
  <c r="E368" i="12"/>
  <c r="E118" i="3"/>
  <c r="D114" i="6"/>
  <c r="G58" i="5"/>
  <c r="G2" i="5" s="1"/>
  <c r="D14" i="4"/>
  <c r="F81" i="4"/>
  <c r="F98" i="6"/>
  <c r="D74" i="11"/>
  <c r="D268" i="11"/>
  <c r="D320" i="11"/>
  <c r="G335" i="11"/>
  <c r="G3" i="10"/>
  <c r="E3" i="10"/>
  <c r="E288" i="12"/>
  <c r="E282" i="12" s="1"/>
  <c r="F377" i="14"/>
  <c r="G103" i="11"/>
  <c r="G14" i="4"/>
  <c r="H8" i="4"/>
  <c r="G64" i="8"/>
  <c r="F109" i="6"/>
  <c r="G13" i="6"/>
  <c r="H2" i="15"/>
  <c r="H103" i="11"/>
  <c r="H250" i="11"/>
  <c r="D282" i="11"/>
  <c r="I173" i="11"/>
  <c r="E87" i="14"/>
  <c r="E105" i="14"/>
  <c r="G205" i="14"/>
  <c r="F8" i="4"/>
  <c r="H56" i="9"/>
  <c r="D76" i="6"/>
  <c r="G61" i="7"/>
  <c r="F54" i="2"/>
  <c r="G68" i="4"/>
  <c r="D57" i="8"/>
  <c r="D64" i="8"/>
  <c r="D3" i="8" s="1"/>
  <c r="G65" i="6"/>
  <c r="G87" i="6"/>
  <c r="G109" i="6"/>
  <c r="I18" i="11"/>
  <c r="I74" i="11"/>
  <c r="D104" i="11"/>
  <c r="D131" i="11"/>
  <c r="I335" i="11"/>
  <c r="F366" i="14"/>
  <c r="I366" i="14" s="1"/>
  <c r="F166" i="14"/>
  <c r="F191" i="14"/>
  <c r="F205" i="14"/>
  <c r="H290" i="14"/>
  <c r="G451" i="14"/>
  <c r="E250" i="12"/>
  <c r="G230" i="12"/>
  <c r="E480" i="12"/>
  <c r="H13" i="9"/>
  <c r="G13" i="7"/>
  <c r="G13" i="9"/>
  <c r="D76" i="4"/>
  <c r="H81" i="4"/>
  <c r="H7" i="4" s="1"/>
  <c r="G7" i="4"/>
  <c r="F13" i="8"/>
  <c r="G173" i="11"/>
  <c r="D290" i="11"/>
  <c r="E230" i="12"/>
  <c r="G166" i="14"/>
  <c r="G3" i="14"/>
  <c r="F470" i="14"/>
  <c r="H480" i="14"/>
  <c r="H502" i="14"/>
  <c r="H525" i="14"/>
  <c r="D13" i="5"/>
  <c r="D13" i="6"/>
  <c r="D109" i="6"/>
  <c r="F58" i="5"/>
  <c r="F13" i="7"/>
  <c r="H14" i="4"/>
  <c r="G57" i="8"/>
  <c r="G2" i="8" s="1"/>
  <c r="F13" i="6"/>
  <c r="F57" i="6"/>
  <c r="F65" i="6"/>
  <c r="F76" i="6"/>
  <c r="F87" i="6"/>
  <c r="D4" i="11"/>
  <c r="H81" i="11"/>
  <c r="G81" i="11"/>
  <c r="E305" i="11"/>
  <c r="H15" i="14"/>
  <c r="H71" i="7"/>
  <c r="H3" i="7" s="1"/>
  <c r="H5" i="7" s="1"/>
  <c r="H2" i="7" s="1"/>
  <c r="H13" i="5"/>
  <c r="F14" i="4"/>
  <c r="D7" i="4"/>
  <c r="H13" i="8"/>
  <c r="H57" i="8"/>
  <c r="E19" i="14"/>
  <c r="G87" i="14"/>
  <c r="E104" i="14"/>
  <c r="F469" i="14"/>
  <c r="H470" i="14"/>
  <c r="F526" i="14"/>
  <c r="F538" i="14"/>
  <c r="I538" i="14" s="1"/>
  <c r="E235" i="12"/>
  <c r="D13" i="7"/>
  <c r="D71" i="7"/>
  <c r="D58" i="5"/>
  <c r="D2" i="5" s="1"/>
  <c r="F13" i="5"/>
  <c r="G71" i="7"/>
  <c r="G56" i="9"/>
  <c r="F13" i="9"/>
  <c r="F68" i="4"/>
  <c r="F7" i="4"/>
  <c r="H64" i="8"/>
  <c r="H57" i="6"/>
  <c r="H87" i="6"/>
  <c r="H98" i="6"/>
  <c r="H109" i="6"/>
  <c r="D2" i="15"/>
  <c r="G2" i="15"/>
  <c r="G7" i="11"/>
  <c r="E18" i="11"/>
  <c r="D112" i="11"/>
  <c r="G250" i="11"/>
  <c r="F3" i="10"/>
  <c r="F72" i="14"/>
  <c r="F167" i="14"/>
  <c r="F269" i="14"/>
  <c r="F290" i="14"/>
  <c r="E179" i="12"/>
  <c r="E465" i="12"/>
  <c r="E479" i="12"/>
  <c r="G3" i="13"/>
  <c r="F3" i="13"/>
  <c r="F78" i="13"/>
  <c r="F230" i="12"/>
  <c r="G417" i="12"/>
  <c r="H451" i="14"/>
  <c r="E191" i="14"/>
  <c r="E442" i="14"/>
  <c r="I592" i="14"/>
  <c r="G591" i="14"/>
  <c r="I593" i="14"/>
  <c r="H7" i="11"/>
  <c r="H74" i="11"/>
  <c r="I274" i="11"/>
  <c r="D335" i="11"/>
  <c r="I7" i="11"/>
  <c r="G183" i="11"/>
  <c r="I218" i="11"/>
  <c r="D250" i="11"/>
  <c r="I250" i="11"/>
  <c r="G274" i="11"/>
  <c r="G305" i="11"/>
  <c r="D305" i="11"/>
  <c r="I103" i="11"/>
  <c r="E173" i="11"/>
  <c r="H305" i="11"/>
  <c r="H335" i="11"/>
  <c r="G229" i="11"/>
  <c r="E302" i="3"/>
  <c r="H2" i="5"/>
  <c r="H3" i="5"/>
  <c r="H5" i="5" s="1"/>
  <c r="F3" i="7"/>
  <c r="F5" i="7" s="1"/>
  <c r="F2" i="7" s="1"/>
  <c r="H3" i="9"/>
  <c r="H5" i="9" s="1"/>
  <c r="H2" i="9"/>
  <c r="D2" i="9"/>
  <c r="F3" i="4"/>
  <c r="F5" i="4" s="1"/>
  <c r="F2" i="4"/>
  <c r="F3" i="8"/>
  <c r="F5" i="8" s="1"/>
  <c r="F3" i="9"/>
  <c r="F5" i="9" s="1"/>
  <c r="F2" i="9"/>
  <c r="D3" i="4"/>
  <c r="D5" i="4" s="1"/>
  <c r="H3" i="4"/>
  <c r="H5" i="4" s="1"/>
  <c r="H2" i="4"/>
  <c r="G3" i="8"/>
  <c r="G2" i="9"/>
  <c r="G3" i="9"/>
  <c r="G5" i="9" s="1"/>
  <c r="H2" i="8"/>
  <c r="H3" i="8"/>
  <c r="H5" i="8" s="1"/>
  <c r="F3" i="5"/>
  <c r="F5" i="5" s="1"/>
  <c r="F2" i="5"/>
  <c r="G2" i="4"/>
  <c r="D2" i="4"/>
  <c r="F19" i="14"/>
  <c r="I362" i="14"/>
  <c r="F359" i="14"/>
  <c r="I359" i="14" s="1"/>
  <c r="D3" i="9"/>
  <c r="D5" i="9" s="1"/>
  <c r="F584" i="14"/>
  <c r="I586" i="14"/>
  <c r="G3" i="4"/>
  <c r="G5" i="4" s="1"/>
  <c r="D6" i="11"/>
  <c r="D16" i="11"/>
  <c r="H3" i="14"/>
  <c r="F421" i="12"/>
  <c r="D4" i="8"/>
  <c r="E54" i="2"/>
  <c r="F57" i="8"/>
  <c r="F2" i="8" s="1"/>
  <c r="H13" i="6"/>
  <c r="H65" i="6"/>
  <c r="F2" i="15"/>
  <c r="D8" i="11"/>
  <c r="D7" i="11"/>
  <c r="D218" i="11"/>
  <c r="E250" i="11"/>
  <c r="H274" i="11"/>
  <c r="E274" i="11"/>
  <c r="I305" i="11"/>
  <c r="F15" i="14"/>
  <c r="F365" i="14"/>
  <c r="I61" i="14"/>
  <c r="F55" i="14"/>
  <c r="I55" i="14" s="1"/>
  <c r="I68" i="14"/>
  <c r="F67" i="14"/>
  <c r="H4" i="14"/>
  <c r="H2" i="14" s="1"/>
  <c r="H377" i="14"/>
  <c r="H374" i="14" s="1"/>
  <c r="E502" i="14"/>
  <c r="I503" i="14"/>
  <c r="F77" i="13"/>
  <c r="G315" i="12"/>
  <c r="G3" i="5"/>
  <c r="G5" i="5" s="1"/>
  <c r="H229" i="11"/>
  <c r="D54" i="2"/>
  <c r="E21" i="2"/>
  <c r="G4" i="8"/>
  <c r="G54" i="2"/>
  <c r="F5" i="15"/>
  <c r="D124" i="11"/>
  <c r="G218" i="11"/>
  <c r="E229" i="11"/>
  <c r="I377" i="14"/>
  <c r="F3" i="14"/>
  <c r="F4" i="14"/>
  <c r="F41" i="14"/>
  <c r="F29" i="14" s="1"/>
  <c r="E15" i="14"/>
  <c r="E326" i="14"/>
  <c r="G191" i="12"/>
  <c r="F20" i="12"/>
  <c r="I200" i="14"/>
  <c r="F502" i="14"/>
  <c r="G448" i="12"/>
  <c r="G314" i="12"/>
  <c r="F127" i="3"/>
  <c r="F449" i="12"/>
  <c r="F314" i="12"/>
  <c r="I413" i="14"/>
  <c r="I417" i="14"/>
  <c r="I429" i="14"/>
  <c r="E448" i="12"/>
  <c r="G179" i="12"/>
  <c r="G173" i="12" s="1"/>
  <c r="G590" i="14"/>
  <c r="E559" i="14"/>
  <c r="E557" i="14" s="1"/>
  <c r="I540" i="14"/>
  <c r="E519" i="14"/>
  <c r="G502" i="14"/>
  <c r="G495" i="14"/>
  <c r="F490" i="14"/>
  <c r="F480" i="14"/>
  <c r="I466" i="14"/>
  <c r="H434" i="14"/>
  <c r="G214" i="14"/>
  <c r="I211" i="14"/>
  <c r="G189" i="14"/>
  <c r="G182" i="14" s="1"/>
  <c r="H205" i="14"/>
  <c r="H263" i="14"/>
  <c r="H269" i="14"/>
  <c r="H268" i="14" s="1"/>
  <c r="G519" i="14"/>
  <c r="I550" i="14"/>
  <c r="E72" i="14"/>
  <c r="I72" i="14" s="1"/>
  <c r="H81" i="14"/>
  <c r="F189" i="14"/>
  <c r="I201" i="14"/>
  <c r="H245" i="14"/>
  <c r="I266" i="14"/>
  <c r="F317" i="14"/>
  <c r="F214" i="14"/>
  <c r="I249" i="14"/>
  <c r="G310" i="14"/>
  <c r="G480" i="14"/>
  <c r="I522" i="14"/>
  <c r="H538" i="14"/>
  <c r="H67" i="14"/>
  <c r="H72" i="14"/>
  <c r="E263" i="14"/>
  <c r="E261" i="14" s="1"/>
  <c r="I261" i="14" s="1"/>
  <c r="E290" i="14"/>
  <c r="I331" i="14"/>
  <c r="I416" i="14"/>
  <c r="I423" i="14"/>
  <c r="G442" i="14"/>
  <c r="G441" i="14" s="1"/>
  <c r="H495" i="14"/>
  <c r="I482" i="14"/>
  <c r="G78" i="13"/>
  <c r="I127" i="14"/>
  <c r="I149" i="14"/>
  <c r="H105" i="14"/>
  <c r="I280" i="14"/>
  <c r="G325" i="14"/>
  <c r="I496" i="14"/>
  <c r="I499" i="14"/>
  <c r="I507" i="14"/>
  <c r="I509" i="14"/>
  <c r="I73" i="14"/>
  <c r="I233" i="14"/>
  <c r="F479" i="14"/>
  <c r="E325" i="14"/>
  <c r="I162" i="14"/>
  <c r="I156" i="14"/>
  <c r="I527" i="14"/>
  <c r="I7" i="14"/>
  <c r="I8" i="14"/>
  <c r="I9" i="14"/>
  <c r="I10" i="14"/>
  <c r="I11" i="14"/>
  <c r="I341" i="14"/>
  <c r="G352" i="14"/>
  <c r="H353" i="14"/>
  <c r="G374" i="14"/>
  <c r="I431" i="14"/>
  <c r="I528" i="14"/>
  <c r="I533" i="14"/>
  <c r="I534" i="14"/>
  <c r="H590" i="14"/>
  <c r="I355" i="14"/>
  <c r="I42" i="14"/>
  <c r="H490" i="14"/>
  <c r="I360" i="14"/>
  <c r="I24" i="14"/>
  <c r="I31" i="14"/>
  <c r="I95" i="14"/>
  <c r="I107" i="14"/>
  <c r="I215" i="14"/>
  <c r="I220" i="14"/>
  <c r="I224" i="14"/>
  <c r="I270" i="14"/>
  <c r="I273" i="14"/>
  <c r="I278" i="14"/>
  <c r="I305" i="14"/>
  <c r="I318" i="14"/>
  <c r="F375" i="14"/>
  <c r="I471" i="14"/>
  <c r="I472" i="14"/>
  <c r="I475" i="14"/>
  <c r="I476" i="14"/>
  <c r="I486" i="14"/>
  <c r="I551" i="14"/>
  <c r="G4" i="14"/>
  <c r="G5" i="14" s="1"/>
  <c r="G348" i="3"/>
  <c r="G236" i="12"/>
  <c r="F480" i="12"/>
  <c r="G472" i="12"/>
  <c r="G466" i="12" s="1"/>
  <c r="F368" i="12"/>
  <c r="G84" i="12"/>
  <c r="F236" i="12"/>
  <c r="E83" i="12"/>
  <c r="E513" i="12"/>
  <c r="F448" i="12"/>
  <c r="G368" i="12"/>
  <c r="I541" i="14"/>
  <c r="H173" i="11"/>
  <c r="E5" i="3"/>
  <c r="E83" i="3"/>
  <c r="I546" i="14"/>
  <c r="I547" i="14"/>
  <c r="G77" i="13"/>
  <c r="G92" i="3"/>
  <c r="G308" i="3"/>
  <c r="G127" i="3"/>
  <c r="G324" i="3"/>
  <c r="E287" i="3"/>
  <c r="G539" i="14"/>
  <c r="H591" i="14"/>
  <c r="D103" i="11"/>
  <c r="H191" i="11"/>
  <c r="H189" i="11" s="1"/>
  <c r="H183" i="11" s="1"/>
  <c r="E92" i="3"/>
  <c r="F118" i="3"/>
  <c r="F103" i="3" s="1"/>
  <c r="G16" i="3"/>
  <c r="F65" i="3"/>
  <c r="G142" i="3"/>
  <c r="F92" i="3"/>
  <c r="E336" i="3"/>
  <c r="E127" i="3"/>
  <c r="G5" i="3"/>
  <c r="I525" i="14"/>
  <c r="E524" i="14"/>
  <c r="E3" i="11"/>
  <c r="G251" i="3"/>
  <c r="E449" i="12"/>
  <c r="F179" i="12"/>
  <c r="F173" i="12" s="1"/>
  <c r="I20" i="14"/>
  <c r="E29" i="14"/>
  <c r="G15" i="14"/>
  <c r="H325" i="14"/>
  <c r="H352" i="14"/>
  <c r="I502" i="14"/>
  <c r="I526" i="14"/>
  <c r="I495" i="14"/>
  <c r="G354" i="3"/>
  <c r="G118" i="3"/>
  <c r="G103" i="3" s="1"/>
  <c r="E142" i="3"/>
  <c r="E308" i="3"/>
  <c r="F302" i="3"/>
  <c r="E53" i="3"/>
  <c r="F142" i="3"/>
  <c r="E348" i="3"/>
  <c r="E65" i="3"/>
  <c r="G449" i="12"/>
  <c r="G470" i="14"/>
  <c r="I436" i="14"/>
  <c r="I163" i="14"/>
  <c r="I348" i="14"/>
  <c r="I520" i="14"/>
  <c r="E490" i="14"/>
  <c r="E434" i="14"/>
  <c r="I492" i="14"/>
  <c r="I517" i="14"/>
  <c r="G322" i="14"/>
  <c r="G317" i="14" s="1"/>
  <c r="G316" i="14" s="1"/>
  <c r="E352" i="14"/>
  <c r="G375" i="14"/>
  <c r="G556" i="14"/>
  <c r="G557" i="14"/>
  <c r="H556" i="14"/>
  <c r="F557" i="14"/>
  <c r="I557" i="14" s="1"/>
  <c r="F539" i="14"/>
  <c r="I3" i="14"/>
  <c r="I452" i="14"/>
  <c r="I246" i="14"/>
  <c r="I205" i="14"/>
  <c r="H5" i="14"/>
  <c r="F374" i="14"/>
  <c r="H442" i="14"/>
  <c r="H441" i="14" s="1"/>
  <c r="H524" i="14"/>
  <c r="H557" i="14"/>
  <c r="I326" i="14"/>
  <c r="F5" i="14"/>
  <c r="F268" i="14"/>
  <c r="E81" i="14"/>
  <c r="I12" i="14"/>
  <c r="I13" i="14"/>
  <c r="I14" i="14"/>
  <c r="D18" i="11"/>
  <c r="H18" i="11"/>
  <c r="G18" i="11"/>
  <c r="I81" i="11"/>
  <c r="E81" i="11"/>
  <c r="D81" i="11"/>
  <c r="E103" i="11"/>
  <c r="D274" i="11"/>
  <c r="D183" i="11"/>
  <c r="E183" i="11"/>
  <c r="G53" i="3"/>
  <c r="F336" i="3"/>
  <c r="F324" i="3"/>
  <c r="G72" i="3"/>
  <c r="G83" i="3"/>
  <c r="F83" i="3"/>
  <c r="E168" i="3"/>
  <c r="E354" i="3"/>
  <c r="F354" i="3"/>
  <c r="I191" i="14"/>
  <c r="G80" i="14"/>
  <c r="G490" i="14"/>
  <c r="F376" i="14"/>
  <c r="I376" i="14" s="1"/>
  <c r="G550" i="14"/>
  <c r="G538" i="14" s="1"/>
  <c r="I284" i="14"/>
  <c r="I206" i="14"/>
  <c r="I412" i="14"/>
  <c r="I264" i="14"/>
  <c r="I16" i="14"/>
  <c r="I26" i="14"/>
  <c r="I64" i="14"/>
  <c r="I78" i="14"/>
  <c r="H322" i="14"/>
  <c r="H317" i="14" s="1"/>
  <c r="H316" i="14" s="1"/>
  <c r="G434" i="14"/>
  <c r="E214" i="14"/>
  <c r="I214" i="14" s="1"/>
  <c r="E317" i="14"/>
  <c r="F325" i="14"/>
  <c r="E269" i="14"/>
  <c r="F519" i="14"/>
  <c r="I519" i="14" s="1"/>
  <c r="E470" i="14"/>
  <c r="I470" i="14" s="1"/>
  <c r="E539" i="14"/>
  <c r="I481" i="14"/>
  <c r="I6" i="14"/>
  <c r="I88" i="14"/>
  <c r="I89" i="14"/>
  <c r="I179" i="14"/>
  <c r="I185" i="14"/>
  <c r="I192" i="14"/>
  <c r="I439" i="14"/>
  <c r="F442" i="14"/>
  <c r="I442" i="14" s="1"/>
  <c r="I263" i="14"/>
  <c r="H29" i="14"/>
  <c r="G29" i="14"/>
  <c r="I53" i="14"/>
  <c r="I70" i="14"/>
  <c r="I94" i="14"/>
  <c r="I98" i="14"/>
  <c r="I99" i="14"/>
  <c r="I116" i="14"/>
  <c r="I117" i="14"/>
  <c r="I126" i="14"/>
  <c r="I144" i="14"/>
  <c r="I145" i="14"/>
  <c r="I148" i="14"/>
  <c r="I174" i="14"/>
  <c r="G252" i="14"/>
  <c r="G251" i="14" s="1"/>
  <c r="I256" i="14"/>
  <c r="H252" i="14"/>
  <c r="I288" i="14"/>
  <c r="I294" i="14"/>
  <c r="I296" i="14"/>
  <c r="I307" i="14"/>
  <c r="I311" i="14"/>
  <c r="I314" i="14"/>
  <c r="I320" i="14"/>
  <c r="I322" i="14"/>
  <c r="I334" i="14"/>
  <c r="E353" i="14"/>
  <c r="F353" i="14"/>
  <c r="G353" i="14"/>
  <c r="E374" i="14"/>
  <c r="I388" i="14"/>
  <c r="I393" i="14"/>
  <c r="I394" i="14"/>
  <c r="I448" i="14"/>
  <c r="I451" i="14"/>
  <c r="I455" i="14"/>
  <c r="I457" i="14"/>
  <c r="I462" i="14"/>
  <c r="I422" i="14"/>
  <c r="G67" i="14"/>
  <c r="F524" i="14"/>
  <c r="F204" i="14"/>
  <c r="H189" i="14"/>
  <c r="H182" i="14" s="1"/>
  <c r="I424" i="14"/>
  <c r="I425" i="14"/>
  <c r="I430" i="14"/>
  <c r="I63" i="14"/>
  <c r="E167" i="14"/>
  <c r="I167" i="14" s="1"/>
  <c r="I190" i="14"/>
  <c r="H375" i="14"/>
  <c r="G3" i="11"/>
  <c r="E7" i="11"/>
  <c r="I229" i="11"/>
  <c r="G267" i="3"/>
  <c r="F168" i="3"/>
  <c r="F16" i="3"/>
  <c r="F53" i="3"/>
  <c r="G336" i="3"/>
  <c r="E324" i="3"/>
  <c r="E16" i="3"/>
  <c r="G65" i="3"/>
  <c r="E72" i="3"/>
  <c r="F72" i="3"/>
  <c r="F348" i="3"/>
  <c r="F308" i="3"/>
  <c r="G302" i="3"/>
  <c r="F126" i="3"/>
  <c r="F251" i="3"/>
  <c r="E251" i="3"/>
  <c r="G287" i="3"/>
  <c r="F287" i="3"/>
  <c r="F191" i="12"/>
  <c r="F315" i="12"/>
  <c r="F250" i="12"/>
  <c r="F249" i="12" s="1"/>
  <c r="G465" i="12"/>
  <c r="G330" i="12"/>
  <c r="G288" i="12"/>
  <c r="F378" i="12"/>
  <c r="F75" i="12"/>
  <c r="G479" i="12"/>
  <c r="E416" i="12"/>
  <c r="F83" i="12"/>
  <c r="F330" i="12"/>
  <c r="E75" i="12"/>
  <c r="F198" i="12"/>
  <c r="F288" i="12"/>
  <c r="F465" i="12"/>
  <c r="G331" i="12"/>
  <c r="G75" i="12"/>
  <c r="G127" i="12"/>
  <c r="G105" i="12" s="1"/>
  <c r="E378" i="12"/>
  <c r="E191" i="12"/>
  <c r="F416" i="12"/>
  <c r="E28" i="12"/>
  <c r="E331" i="12"/>
  <c r="G286" i="12"/>
  <c r="G283" i="12" s="1"/>
  <c r="G494" i="12"/>
  <c r="G480" i="12" s="1"/>
  <c r="E227" i="12"/>
  <c r="E224" i="12"/>
  <c r="E519" i="12"/>
  <c r="E520" i="12"/>
  <c r="E208" i="12"/>
  <c r="F472" i="12"/>
  <c r="F466" i="12" s="1"/>
  <c r="F479" i="12"/>
  <c r="E263" i="12"/>
  <c r="G421" i="12"/>
  <c r="E221" i="12"/>
  <c r="F331" i="12"/>
  <c r="G250" i="12"/>
  <c r="G249" i="12" s="1"/>
  <c r="G198" i="12"/>
  <c r="E178" i="12"/>
  <c r="G378" i="12"/>
  <c r="E421" i="12"/>
  <c r="E314" i="12"/>
  <c r="G429" i="12"/>
  <c r="F28" i="12"/>
  <c r="F429" i="12"/>
  <c r="G20" i="12"/>
  <c r="E407" i="12"/>
  <c r="E20" i="12"/>
  <c r="E429" i="12"/>
  <c r="F441" i="14"/>
  <c r="I104" i="14"/>
  <c r="F494" i="14"/>
  <c r="F438" i="14"/>
  <c r="I438" i="14" s="1"/>
  <c r="I480" i="14"/>
  <c r="F287" i="14"/>
  <c r="I287" i="14" s="1"/>
  <c r="F252" i="14"/>
  <c r="I105" i="14"/>
  <c r="I67" i="14"/>
  <c r="F81" i="14"/>
  <c r="I81" i="14" s="1"/>
  <c r="F87" i="14"/>
  <c r="I87" i="14" s="1"/>
  <c r="F434" i="14"/>
  <c r="I434" i="14" s="1"/>
  <c r="I365" i="14"/>
  <c r="I487" i="14"/>
  <c r="I483" i="14"/>
  <c r="I106" i="14"/>
  <c r="I356" i="14"/>
  <c r="I587" i="14"/>
  <c r="I36" i="14"/>
  <c r="I154" i="14"/>
  <c r="H85" i="14"/>
  <c r="I175" i="14"/>
  <c r="I178" i="14"/>
  <c r="I283" i="14"/>
  <c r="G286" i="14"/>
  <c r="I343" i="14"/>
  <c r="H494" i="14"/>
  <c r="E537" i="14"/>
  <c r="I236" i="14"/>
  <c r="I184" i="14"/>
  <c r="G494" i="14"/>
  <c r="E251" i="14"/>
  <c r="F556" i="14"/>
  <c r="F310" i="14"/>
  <c r="I310" i="14" s="1"/>
  <c r="F86" i="14"/>
  <c r="E375" i="14"/>
  <c r="I375" i="14" s="1"/>
  <c r="E189" i="14"/>
  <c r="F591" i="14"/>
  <c r="I591" i="14" s="1"/>
  <c r="I157" i="14"/>
  <c r="I82" i="14"/>
  <c r="I443" i="14"/>
  <c r="I4" i="14"/>
  <c r="I240" i="14"/>
  <c r="I291" i="14"/>
  <c r="I387" i="14"/>
  <c r="I569" i="14"/>
  <c r="I186" i="14"/>
  <c r="I160" i="14"/>
  <c r="E166" i="14"/>
  <c r="I166" i="14" s="1"/>
  <c r="G204" i="14"/>
  <c r="H286" i="14"/>
  <c r="H468" i="14"/>
  <c r="E558" i="14"/>
  <c r="I558" i="14" s="1"/>
  <c r="I239" i="14"/>
  <c r="H539" i="14"/>
  <c r="H537" i="14" s="1"/>
  <c r="I585" i="14"/>
  <c r="F183" i="14"/>
  <c r="I169" i="14"/>
  <c r="F590" i="14"/>
  <c r="I590" i="14" s="1"/>
  <c r="I193" i="14"/>
  <c r="I237" i="14"/>
  <c r="E86" i="14"/>
  <c r="G105" i="14"/>
  <c r="G85" i="14" s="1"/>
  <c r="I161" i="14"/>
  <c r="I168" i="14"/>
  <c r="H204" i="14"/>
  <c r="E286" i="14"/>
  <c r="I514" i="14"/>
  <c r="G524" i="14"/>
  <c r="I584" i="14"/>
  <c r="G268" i="14"/>
  <c r="I428" i="14"/>
  <c r="I80" i="14"/>
  <c r="I155" i="14"/>
  <c r="F286" i="14"/>
  <c r="I290" i="14"/>
  <c r="I435" i="14"/>
  <c r="E2" i="14"/>
  <c r="E5" i="14"/>
  <c r="I245" i="14"/>
  <c r="I465" i="14"/>
  <c r="E441" i="14"/>
  <c r="I30" i="14"/>
  <c r="I479" i="14"/>
  <c r="I516" i="14"/>
  <c r="E494" i="14"/>
  <c r="G11" i="14"/>
  <c r="I491" i="14"/>
  <c r="I469" i="14"/>
  <c r="I347" i="14"/>
  <c r="I190" i="11"/>
  <c r="E267" i="3"/>
  <c r="F267" i="3"/>
  <c r="G168" i="3"/>
  <c r="E103" i="3"/>
  <c r="F5" i="3"/>
  <c r="E536" i="12"/>
  <c r="E173" i="12" l="1"/>
  <c r="E3" i="12"/>
  <c r="E313" i="12"/>
  <c r="F313" i="12"/>
  <c r="G313" i="12"/>
  <c r="F19" i="12"/>
  <c r="G19" i="12"/>
  <c r="E19" i="12"/>
  <c r="F447" i="12"/>
  <c r="F235" i="12"/>
  <c r="G18" i="14"/>
  <c r="I15" i="14"/>
  <c r="I559" i="14"/>
  <c r="F316" i="14"/>
  <c r="D3" i="6"/>
  <c r="D5" i="6" s="1"/>
  <c r="G2" i="6"/>
  <c r="I524" i="14"/>
  <c r="I325" i="14"/>
  <c r="I19" i="14"/>
  <c r="F3" i="6"/>
  <c r="F5" i="6" s="1"/>
  <c r="G3" i="7"/>
  <c r="G5" i="7" s="1"/>
  <c r="G2" i="7" s="1"/>
  <c r="F282" i="12"/>
  <c r="G351" i="14"/>
  <c r="G400" i="12"/>
  <c r="D5" i="8"/>
  <c r="G3" i="6"/>
  <c r="G5" i="6" s="1"/>
  <c r="G468" i="14"/>
  <c r="G447" i="12"/>
  <c r="F420" i="12"/>
  <c r="D2" i="6"/>
  <c r="D3" i="7"/>
  <c r="D5" i="7" s="1"/>
  <c r="D2" i="7" s="1"/>
  <c r="F190" i="12"/>
  <c r="E18" i="14"/>
  <c r="E447" i="12"/>
  <c r="F2" i="6"/>
  <c r="D2" i="8"/>
  <c r="F2" i="14"/>
  <c r="E316" i="14"/>
  <c r="I490" i="14"/>
  <c r="H18" i="14"/>
  <c r="D3" i="5"/>
  <c r="D5" i="5" s="1"/>
  <c r="I2" i="14"/>
  <c r="E372" i="12"/>
  <c r="F372" i="12"/>
  <c r="G372" i="12"/>
  <c r="H351" i="14"/>
  <c r="G190" i="12"/>
  <c r="G282" i="12"/>
  <c r="I29" i="14"/>
  <c r="F18" i="14"/>
  <c r="I5" i="14"/>
  <c r="I41" i="14"/>
  <c r="E556" i="14"/>
  <c r="E204" i="14"/>
  <c r="I204" i="14" s="1"/>
  <c r="F182" i="14"/>
  <c r="I189" i="14"/>
  <c r="F352" i="14"/>
  <c r="F351" i="14" s="1"/>
  <c r="D3" i="11"/>
  <c r="F468" i="14"/>
  <c r="F400" i="12"/>
  <c r="H2" i="6"/>
  <c r="H3" i="6"/>
  <c r="H5" i="6" s="1"/>
  <c r="G5" i="8"/>
  <c r="I539" i="14"/>
  <c r="G2" i="14"/>
  <c r="I317" i="14"/>
  <c r="H251" i="14"/>
  <c r="G537" i="14"/>
  <c r="H16" i="11"/>
  <c r="H3" i="11" s="1"/>
  <c r="G15" i="3"/>
  <c r="G126" i="3"/>
  <c r="G167" i="3"/>
  <c r="E126" i="3"/>
  <c r="G235" i="12"/>
  <c r="G420" i="12"/>
  <c r="I353" i="14"/>
  <c r="I183" i="14"/>
  <c r="F15" i="3"/>
  <c r="F301" i="3"/>
  <c r="E301" i="3"/>
  <c r="E351" i="14"/>
  <c r="I374" i="14"/>
  <c r="I441" i="14"/>
  <c r="I86" i="14"/>
  <c r="F167" i="3"/>
  <c r="F88" i="12"/>
  <c r="E268" i="14"/>
  <c r="I268" i="14" s="1"/>
  <c r="I269" i="14"/>
  <c r="I494" i="14"/>
  <c r="I18" i="14"/>
  <c r="F85" i="14"/>
  <c r="I316" i="14"/>
  <c r="E182" i="14"/>
  <c r="I182" i="14" s="1"/>
  <c r="E468" i="14"/>
  <c r="F537" i="14"/>
  <c r="I537" i="14" s="1"/>
  <c r="E167" i="3"/>
  <c r="E2" i="3"/>
  <c r="E15" i="3"/>
  <c r="F2" i="3"/>
  <c r="G301" i="3"/>
  <c r="G3" i="12"/>
  <c r="F6" i="12"/>
  <c r="G88" i="12"/>
  <c r="E6" i="12"/>
  <c r="G464" i="12"/>
  <c r="F3" i="12"/>
  <c r="E400" i="12"/>
  <c r="F464" i="12"/>
  <c r="E198" i="12"/>
  <c r="E464" i="12"/>
  <c r="E249" i="12"/>
  <c r="E420" i="12"/>
  <c r="I556" i="14"/>
  <c r="I286" i="14"/>
  <c r="E85" i="14"/>
  <c r="I252" i="14"/>
  <c r="F251" i="14"/>
  <c r="I251" i="14" s="1"/>
  <c r="I16" i="11"/>
  <c r="I3" i="11" s="1"/>
  <c r="I189" i="11"/>
  <c r="I183" i="11" s="1"/>
  <c r="G2" i="3"/>
  <c r="E535" i="12"/>
  <c r="I352" i="14" l="1"/>
  <c r="I351" i="14"/>
  <c r="I468" i="14"/>
  <c r="G355" i="3"/>
  <c r="F355" i="3"/>
  <c r="I85" i="14"/>
  <c r="E355" i="3"/>
  <c r="E88" i="12"/>
  <c r="E19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MinFin</author>
  </authors>
  <commentList>
    <comment ref="A117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npr. 5521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Milka Marina Kovačević</author>
  </authors>
  <commentList>
    <comment ref="E188" authorId="0" shapeId="0" xr:uid="{00000000-0006-0000-0B00-000001000000}">
      <text>
        <r>
          <rPr>
            <b/>
            <sz val="9"/>
            <color indexed="81"/>
            <rFont val="Segoe UI"/>
            <family val="2"/>
            <charset val="238"/>
          </rPr>
          <t>Milka Marina Kovačević:</t>
        </r>
        <r>
          <rPr>
            <sz val="9"/>
            <color indexed="81"/>
            <rFont val="Segoe UI"/>
            <family val="2"/>
            <charset val="238"/>
          </rPr>
          <t xml:space="preserve">
2. Ograničeno i 3. i 4. bez subvencije (7.600.000 Ogr.+55.100.000+55.100.000-10%
</t>
        </r>
      </text>
    </comment>
    <comment ref="F188" authorId="0" shapeId="0" xr:uid="{00000000-0006-0000-0B00-000002000000}">
      <text>
        <r>
          <rPr>
            <b/>
            <sz val="9"/>
            <color indexed="81"/>
            <rFont val="Segoe UI"/>
            <family val="2"/>
            <charset val="238"/>
          </rPr>
          <t>Milka Marina Kovačević:</t>
        </r>
        <r>
          <rPr>
            <sz val="9"/>
            <color indexed="81"/>
            <rFont val="Segoe UI"/>
            <family val="2"/>
            <charset val="238"/>
          </rPr>
          <t xml:space="preserve">
3. i 4. tranša Ograničeno +110.200.000+110.200.000-10%
</t>
        </r>
      </text>
    </comment>
    <comment ref="E189" authorId="0" shapeId="0" xr:uid="{00000000-0006-0000-0B00-000003000000}">
      <text>
        <r>
          <rPr>
            <b/>
            <sz val="9"/>
            <color indexed="81"/>
            <rFont val="Segoe UI"/>
            <family val="2"/>
            <charset val="238"/>
          </rPr>
          <t>Milka Marina Kovačević:</t>
        </r>
        <r>
          <rPr>
            <sz val="9"/>
            <color indexed="81"/>
            <rFont val="Segoe UI"/>
            <family val="2"/>
            <charset val="238"/>
          </rPr>
          <t xml:space="preserve">
2. Ograničeno-102600000-10%
</t>
        </r>
      </text>
    </comment>
    <comment ref="E451" authorId="0" shapeId="0" xr:uid="{00000000-0006-0000-0B00-000004000000}">
      <text>
        <r>
          <rPr>
            <b/>
            <sz val="9"/>
            <color indexed="81"/>
            <rFont val="Segoe UI"/>
            <family val="2"/>
            <charset val="238"/>
          </rPr>
          <t>Milka Marina Kovačević:</t>
        </r>
        <r>
          <rPr>
            <sz val="9"/>
            <color indexed="81"/>
            <rFont val="Segoe UI"/>
            <family val="2"/>
            <charset val="238"/>
          </rPr>
          <t xml:space="preserve">
povećanje alokacije &lt;Mali- 60.mil kn i Mikro 10 mil
</t>
        </r>
      </text>
    </comment>
    <comment ref="E462" authorId="0" shapeId="0" xr:uid="{00000000-0006-0000-0B00-000005000000}">
      <text>
        <r>
          <rPr>
            <b/>
            <sz val="9"/>
            <color indexed="81"/>
            <rFont val="Segoe UI"/>
            <family val="2"/>
            <charset val="238"/>
          </rPr>
          <t>Milka Marina Kovačević:</t>
        </r>
        <r>
          <rPr>
            <sz val="9"/>
            <color indexed="81"/>
            <rFont val="Segoe UI"/>
            <family val="2"/>
            <charset val="238"/>
          </rPr>
          <t xml:space="preserve">
2. i 3. tranša</t>
        </r>
      </text>
    </comment>
    <comment ref="F462" authorId="0" shapeId="0" xr:uid="{00000000-0006-0000-0B00-000006000000}">
      <text>
        <r>
          <rPr>
            <b/>
            <sz val="9"/>
            <color indexed="81"/>
            <rFont val="Segoe UI"/>
            <family val="2"/>
            <charset val="238"/>
          </rPr>
          <t>Milka Marina Kovačević:</t>
        </r>
        <r>
          <rPr>
            <sz val="9"/>
            <color indexed="81"/>
            <rFont val="Segoe UI"/>
            <family val="2"/>
            <charset val="238"/>
          </rPr>
          <t xml:space="preserve">
4.tranša</t>
        </r>
      </text>
    </comment>
  </commentList>
</comments>
</file>

<file path=xl/sharedStrings.xml><?xml version="1.0" encoding="utf-8"?>
<sst xmlns="http://schemas.openxmlformats.org/spreadsheetml/2006/main" count="7941" uniqueCount="558">
  <si>
    <t>11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</si>
  <si>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</si>
  <si>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</si>
  <si>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</si>
  <si>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</si>
  <si>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</si>
  <si>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</si>
  <si>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</si>
  <si>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</si>
  <si>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</si>
  <si>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</si>
  <si>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</si>
  <si>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</si>
  <si>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</si>
  <si>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</si>
  <si>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 enosti</t>
  </si>
  <si>
    <t>321</t>
  </si>
  <si>
    <t>Naknade troškova zaposlenima</t>
  </si>
  <si>
    <t>3211</t>
  </si>
  <si>
    <t>Službena putovanja</t>
  </si>
  <si>
    <t>3212</t>
  </si>
  <si>
    <t>Naknade za prijevoz, za rad na terenu i odvojeni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</si>
  <si>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</si>
  <si>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</si>
  <si>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</si>
  <si>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</si>
  <si>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</si>
  <si>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</si>
  <si>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</si>
  <si>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</si>
  <si>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</si>
  <si>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</si>
  <si>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</si>
  <si>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</si>
  <si>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</si>
  <si>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</si>
  <si>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</si>
  <si>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</si>
  <si>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</si>
  <si>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</si>
  <si>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</si>
  <si>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</si>
  <si>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</si>
  <si>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</si>
  <si>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</si>
  <si>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</si>
  <si>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</si>
  <si>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</si>
  <si>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</si>
  <si>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</si>
  <si>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</si>
  <si>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</si>
  <si>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</si>
  <si>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</si>
  <si>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</si>
  <si>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</si>
  <si>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</si>
  <si>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</si>
  <si>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</si>
  <si>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</si>
  <si>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predstavn.i izvršnih tijela, povje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</si>
  <si>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</si>
  <si>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</si>
  <si>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</si>
  <si>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</si>
  <si>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</si>
  <si>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</si>
  <si>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</si>
  <si>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</si>
  <si>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</si>
  <si>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</si>
  <si>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</si>
  <si>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</si>
  <si>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</si>
  <si>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</si>
  <si>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</si>
  <si>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</si>
  <si>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</si>
  <si>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381</t>
  </si>
  <si>
    <t>Tekuće donacije</t>
  </si>
  <si>
    <t>3811</t>
  </si>
  <si>
    <t>Tekuće donacije u novcu</t>
  </si>
  <si>
    <t>12</t>
  </si>
  <si>
    <t>412</t>
  </si>
  <si>
    <t>Nematerijalna imovina</t>
  </si>
  <si>
    <t>4123</t>
  </si>
  <si>
    <t>Licence</t>
  </si>
  <si>
    <t>INFORMATIZACIJA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</si>
  <si>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</si>
  <si>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</si>
  <si>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</si>
  <si>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</si>
  <si>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</si>
  <si>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</si>
  <si>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</si>
  <si>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</si>
  <si>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</si>
  <si>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</si>
  <si>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OBNOVA VOZNOG PARKA</t>
  </si>
  <si>
    <t>04910</t>
  </si>
  <si>
    <t>Ravnateljstvo za robne zalihe</t>
  </si>
  <si>
    <t>A561000</t>
  </si>
  <si>
    <t>ADMINISTRACIJA I UPRAVLJANJE RAVNATELJSTVA ZA ROBNE ZALIHE</t>
  </si>
  <si>
    <t>3227</t>
  </si>
  <si>
    <t>Službena, radna i zaštitna odjeća i obuća</t>
  </si>
  <si>
    <t>3296</t>
  </si>
  <si>
    <t>Troškovi sudskih postupaka</t>
  </si>
  <si>
    <t>A561001</t>
  </si>
  <si>
    <t>SKLADIŠTENJE I ČUVANJE ROBNIH ZALIHA</t>
  </si>
  <si>
    <t>K400262</t>
  </si>
  <si>
    <t>K561016</t>
  </si>
  <si>
    <t>NABAVA ROBNIH ZALIHA REPUBLIKE HRVATSKE</t>
  </si>
  <si>
    <t>441</t>
  </si>
  <si>
    <t>Strateške zalihe</t>
  </si>
  <si>
    <t>4411</t>
  </si>
  <si>
    <t>K561026</t>
  </si>
  <si>
    <t>SANACIJA ŠTETA OD POPLAVA</t>
  </si>
  <si>
    <t>04970</t>
  </si>
  <si>
    <t>Državni zavod za mjeriteljstvo</t>
  </si>
  <si>
    <t>A762000</t>
  </si>
  <si>
    <t>ADMINISTRACIJA I UPRAVLJANJE DRŽAVNOG ZAVODA ZA MJERITELJSTV</t>
  </si>
  <si>
    <t>3222</t>
  </si>
  <si>
    <t>Materijal i sirovine</t>
  </si>
  <si>
    <t>K762001</t>
  </si>
  <si>
    <t>OSIGUR.POTR.RAZ.KVALITETE KROZ PROCESE AKREDITACIJE I CERT.</t>
  </si>
  <si>
    <t>K762002</t>
  </si>
  <si>
    <t>IZGRADNJA I OPREMANJE POSLOVNOG PROSTORA</t>
  </si>
  <si>
    <t>451</t>
  </si>
  <si>
    <t>Dodatna ulaganja na građevinskim objektima</t>
  </si>
  <si>
    <t>4511</t>
  </si>
  <si>
    <t>K762003</t>
  </si>
  <si>
    <t>K762004</t>
  </si>
  <si>
    <t>INFORMATIZACIJA ZAVODA</t>
  </si>
  <si>
    <t>04980</t>
  </si>
  <si>
    <t>Hrvatski zavod za norme</t>
  </si>
  <si>
    <t>A651002</t>
  </si>
  <si>
    <t>ADMINISTRACIJA I UPRAVLJANJE HRVATSKOG ZAVODA ZA NORME</t>
  </si>
  <si>
    <t>A651012</t>
  </si>
  <si>
    <t>PROJEKT CIP E-COMMENTS</t>
  </si>
  <si>
    <t>K651011</t>
  </si>
  <si>
    <t>426</t>
  </si>
  <si>
    <t>Nemat. proizvedena imovina</t>
  </si>
  <si>
    <t>4262</t>
  </si>
  <si>
    <t>Ulag.u račun. programe</t>
  </si>
  <si>
    <t>04985</t>
  </si>
  <si>
    <t>Hrvatska akreditacijska agencija</t>
  </si>
  <si>
    <t>A652002</t>
  </si>
  <si>
    <t>ADMINISTRACIJA I UPRAVLJANJE HRVATSKE AKREDITACIJSKE AGENCIJ</t>
  </si>
  <si>
    <t>K652006</t>
  </si>
  <si>
    <t>3112</t>
  </si>
  <si>
    <t>Plaće u naravi</t>
  </si>
  <si>
    <t>RAZVOJNA SURADNJA I HUMANITARNA POMOĆ INOZEMSTVU</t>
  </si>
  <si>
    <t>44389</t>
  </si>
  <si>
    <t>Agencija za opremu pod tlakom</t>
  </si>
  <si>
    <t>A817022</t>
  </si>
  <si>
    <t>ADMINISTRACIJA I UPRAVLJANJE AGENCIJE ZA OPREMU POD TLAKOM</t>
  </si>
  <si>
    <t>K822022</t>
  </si>
  <si>
    <t>K822030</t>
  </si>
  <si>
    <t>47641</t>
  </si>
  <si>
    <t>Agencija za investicije i konkurentnost</t>
  </si>
  <si>
    <t>A817048</t>
  </si>
  <si>
    <t>3214</t>
  </si>
  <si>
    <t>Ostale naknade troškova zaposlenima</t>
  </si>
  <si>
    <t>A864007</t>
  </si>
  <si>
    <t>PROMIDŽBA ULAGANJA I KONKURENTNOSTI</t>
  </si>
  <si>
    <t>A864008</t>
  </si>
  <si>
    <t>PRIVLAČENJE INVESTICIJA</t>
  </si>
  <si>
    <t>A864009</t>
  </si>
  <si>
    <t>POVEĆANJE KONKURENTNOSTI</t>
  </si>
  <si>
    <t>K822048</t>
  </si>
  <si>
    <t>OPREMANJE I INFORMATIZACIJA</t>
  </si>
  <si>
    <t>4227</t>
  </si>
  <si>
    <t>Uređaji, strojevi i oprema za ostale namjene</t>
  </si>
  <si>
    <t>372</t>
  </si>
  <si>
    <t>3721</t>
  </si>
  <si>
    <t>Naknade građanima i kućanstvima u novcu</t>
  </si>
  <si>
    <t>421</t>
  </si>
  <si>
    <t>Građevinski objekti</t>
  </si>
  <si>
    <t>4214</t>
  </si>
  <si>
    <t>Ostali građevinski objekti</t>
  </si>
  <si>
    <t>Izvor</t>
  </si>
  <si>
    <t>Nematerijalna proizvedena imovina</t>
  </si>
  <si>
    <t>Ulaganje u računalne programe</t>
  </si>
  <si>
    <t>AKTIVNOST JAVNO-PRIVATNOG PARTNERSTVA</t>
  </si>
  <si>
    <t>Službena, radna, zaštitna odjeća</t>
  </si>
  <si>
    <t>04905</t>
  </si>
  <si>
    <t>A560000</t>
  </si>
  <si>
    <t>ADMINISTRACIJA I UPRAVLJANJE</t>
  </si>
  <si>
    <t>K406386</t>
  </si>
  <si>
    <t>K560021</t>
  </si>
  <si>
    <t>OPREMANJE</t>
  </si>
  <si>
    <t>K560102</t>
  </si>
  <si>
    <t>A817065</t>
  </si>
  <si>
    <t>INSPEKCIJSKI POSLOVI U GOSPODARSTVU</t>
  </si>
  <si>
    <t>A560004</t>
  </si>
  <si>
    <t>PROVEDBA MJERA ZA POTICANJE ULAGANJA</t>
  </si>
  <si>
    <t>352</t>
  </si>
  <si>
    <t>3522</t>
  </si>
  <si>
    <t>Subvencije trgovačkim društvima izvan javnog sekt</t>
  </si>
  <si>
    <t>A560050</t>
  </si>
  <si>
    <t>SANACIJA I RESTRUKTURIRANJE TRGOVAČKIH DRUŠTAVA U PRETEŽITOM</t>
  </si>
  <si>
    <t>A817070</t>
  </si>
  <si>
    <t>MJERE IMPLEMENTACIJE INDUSTRIJSKE STRATEGIJE</t>
  </si>
  <si>
    <t>A822028</t>
  </si>
  <si>
    <t>RESTRUKTURIRANJE BRODOGRADILIŠTA</t>
  </si>
  <si>
    <t>A822046</t>
  </si>
  <si>
    <t>PROVOĐENJE AKTIVNOSTI ZA ODRŽIVI RAZVOJ INDUSTRIJE</t>
  </si>
  <si>
    <t>351</t>
  </si>
  <si>
    <t>A560054</t>
  </si>
  <si>
    <t>NACIONALNI PROGRAM ZA  ZAŠTITU POTROŠAČA</t>
  </si>
  <si>
    <t>A822035</t>
  </si>
  <si>
    <t>RAZVOJ UNUTARNJEG TRŽIŠTA</t>
  </si>
  <si>
    <t>K822056</t>
  </si>
  <si>
    <t>EUROPSKI POTROŠAČKI CENTAR HRVATSKA (ECC-NET)</t>
  </si>
  <si>
    <t>K817068</t>
  </si>
  <si>
    <t>OP KONKURENTNOST I KOHEZIJA 2014.-2020.</t>
  </si>
  <si>
    <t>43</t>
  </si>
  <si>
    <t>K561022</t>
  </si>
  <si>
    <t>DODATNA ULAGANJA U VLASTITA SKLADIŠTA</t>
  </si>
  <si>
    <t>Dodatna ulaganja u vlastita skladišta</t>
  </si>
  <si>
    <t>Funk. podr.</t>
  </si>
  <si>
    <t>4302 STVARANJE, OBNAVLJANJE I KORIŠTENJE ROBNIH ZALIHA</t>
  </si>
  <si>
    <t>3222 USPOSTAVA I KOORDINACIJA NACIONALNOG MJERITELJSKOG SUSTAVA RH</t>
  </si>
  <si>
    <t>3220 RAZVOJ I ODRŽAVANJE NORMIZACIJSKOG SUSTAVA ZA RH</t>
  </si>
  <si>
    <t>0471</t>
  </si>
  <si>
    <t>0421</t>
  </si>
  <si>
    <t>1090</t>
  </si>
  <si>
    <t>0411</t>
  </si>
  <si>
    <t>3221 ODRŽAVANJE I RAZVOJ SUSTAVA AKREDITACIJE U RH</t>
  </si>
  <si>
    <t>Prekovremeni</t>
  </si>
  <si>
    <t>0487</t>
  </si>
  <si>
    <t>3218 UNPREĐENJE SIGURNOSTI LJUDI, IMOVINE I OKOLIŠA</t>
  </si>
  <si>
    <t>0442</t>
  </si>
  <si>
    <t>0490</t>
  </si>
  <si>
    <t>563</t>
  </si>
  <si>
    <t>51</t>
  </si>
  <si>
    <t>368</t>
  </si>
  <si>
    <t>Pomoći temeljem prijenosa EU sredstava</t>
  </si>
  <si>
    <t>Tekuće pomoći temeljem prijenosa EU sredstava</t>
  </si>
  <si>
    <t>Kapitalne pomoći temeljem prijenosa EU sredstava</t>
  </si>
  <si>
    <t>384</t>
  </si>
  <si>
    <t>Prijenosi EU sredstava subjektima izvan općeg proračuna</t>
  </si>
  <si>
    <t>Tekući prijenosi EU sredstava subjektima izvan općeg proračuna</t>
  </si>
  <si>
    <t>Kapitalni prijenosi EU sredstava subjektima izvan općeg proračuna</t>
  </si>
  <si>
    <t>A864012</t>
  </si>
  <si>
    <t>A864011</t>
  </si>
  <si>
    <t>RED. BR.</t>
  </si>
  <si>
    <t>RAZDJEL / GLAVA</t>
  </si>
  <si>
    <t>NAZIV KORISNIKA</t>
  </si>
  <si>
    <t>TEKUĆI PRORAČUN 2014.</t>
  </si>
  <si>
    <t>1</t>
  </si>
  <si>
    <t>2</t>
  </si>
  <si>
    <t>3</t>
  </si>
  <si>
    <t>4</t>
  </si>
  <si>
    <t>5</t>
  </si>
  <si>
    <t>6</t>
  </si>
  <si>
    <t>049 05</t>
  </si>
  <si>
    <t>049 10</t>
  </si>
  <si>
    <t>3.1.</t>
  </si>
  <si>
    <t>3.2.</t>
  </si>
  <si>
    <t>049 70</t>
  </si>
  <si>
    <t>049 80</t>
  </si>
  <si>
    <t>049 85</t>
  </si>
  <si>
    <t>049</t>
  </si>
  <si>
    <t>52</t>
  </si>
  <si>
    <t>53</t>
  </si>
  <si>
    <t>PROJEKT PROSAFE - ZAJEDNIČKA AKCIJA</t>
  </si>
  <si>
    <t>LIMIT</t>
  </si>
  <si>
    <t>3201 PRIPREMA I PROVEDBA PROGRAMA I AKTIVNOSTI U SVRHU OSTVARENJA STRATEŠKIH CILJEVA ZA JAČANJE GOSPODARSTVA RH</t>
  </si>
  <si>
    <t>3203 RAZVOJ, UNAPREĐENJE KONKURENTNOSTI I RESTRUKTURIRANJE INDUSTRIJE</t>
  </si>
  <si>
    <t xml:space="preserve">3215 RAZVOJ I STANDARDIZACIJA TRGOVINE I UNUTARNJEG TRŽIŠTA </t>
  </si>
  <si>
    <t>3216 JAČANJE KONKURENTNOSTI GOSPODARSTVA POTICANJEM INVESTICIJA I UČINKOVITIM KORIŠTENJEM EU SREDSTAVA</t>
  </si>
  <si>
    <t>31</t>
  </si>
  <si>
    <t>71</t>
  </si>
  <si>
    <t>- 329</t>
  </si>
  <si>
    <t>A817072</t>
  </si>
  <si>
    <t>JAČANJE ADMINISTRATIVNIH KAPACITETA U SUSTAVU JAVNE NABAVE S NAGLASKOM NA KRITERIJU ENP</t>
  </si>
  <si>
    <t>3223 PRIVLAČENJE INVESTICIJA I POVEĆANJE KONKURENTNOSTI</t>
  </si>
  <si>
    <t>IZVOR 11-OPĆI PRIHODI I PRIMICI</t>
  </si>
  <si>
    <t>IZVOR 12-SREDSTVA UČEŠĆA ZA POMOĆI</t>
  </si>
  <si>
    <t>IZVOR 31-VLASTITI PRIHODI</t>
  </si>
  <si>
    <t>IZVOR 43-OSTALI PRIHODI ZA POSEBNE NAMJENE</t>
  </si>
  <si>
    <t>IZVOR 51-POMOĆI EU</t>
  </si>
  <si>
    <t>IZVOR 563-ERDF-EF ZA REGIONALNI RAZVOJ</t>
  </si>
  <si>
    <t>IZVOR 52-OSTALE POMOĆI I DAROVNICE</t>
  </si>
  <si>
    <t>IZVOR 71-PRIHODI OD PRODAJE ILI ZAMJENE NEFIN.IMOVINE</t>
  </si>
  <si>
    <t xml:space="preserve">Proračunski korisnici u gospodarstvu </t>
  </si>
  <si>
    <t>Nematrijalna proizvedena imovina</t>
  </si>
  <si>
    <t>Ulaganja u računalne programe</t>
  </si>
  <si>
    <t>K561027</t>
  </si>
  <si>
    <t>HITNA POMOĆ - MIGRANTI</t>
  </si>
  <si>
    <t>Instrumenti,uređaji, strojevi</t>
  </si>
  <si>
    <t>575</t>
  </si>
  <si>
    <t>Doprinosi za obvezno osiguranje u slučaju nezaposlenosti</t>
  </si>
  <si>
    <t xml:space="preserve">Ostale naknade građ.i kućan.iz proračuna </t>
  </si>
  <si>
    <t>423</t>
  </si>
  <si>
    <t>Prijevozna sredstva</t>
  </si>
  <si>
    <t>Osobni automobil</t>
  </si>
  <si>
    <t>IZVOR 575-FONDOVI ZA UNUTARNJE POSLOVE</t>
  </si>
  <si>
    <t>ADMINISTRACIJA I UPRAVLJANJE AIK-a</t>
  </si>
  <si>
    <t>Otplata glavnice primljenih zajmova od tuzemnih  fin.institucija izvan javnog sektora</t>
  </si>
  <si>
    <t>Tekući plan 2016.</t>
  </si>
  <si>
    <t>Tekući plan  2016.</t>
  </si>
  <si>
    <t xml:space="preserve"> </t>
  </si>
  <si>
    <t>dr.sc. Martina Dalić</t>
  </si>
  <si>
    <t xml:space="preserve">POTPREDSJEDNICA VLADE I MINISTRICA
</t>
  </si>
  <si>
    <t>A817073</t>
  </si>
  <si>
    <t>A864013</t>
  </si>
  <si>
    <t>INSTRUMENT ZA KOMBINIRANJE EUROPSKIH STRUKTURNIH I INVESTICIJSKIH FONDOVA I JAVNO-PRIVATNOG PARTNERSTVA</t>
  </si>
  <si>
    <t>HRVATSKI CENTAR ZA ZADRUŽNO PODUZETNIŠTVO</t>
  </si>
  <si>
    <t>049 90</t>
  </si>
  <si>
    <t>049 95</t>
  </si>
  <si>
    <t>Hrvatski centar za zadružno poduzetništvo</t>
  </si>
  <si>
    <t>Hrvatska agencija za malo gospodarstvo, inovacije i investicije, HAMAG-BICRO</t>
  </si>
  <si>
    <t>049 65</t>
  </si>
  <si>
    <t>559</t>
  </si>
  <si>
    <t>561</t>
  </si>
  <si>
    <t>PROVEDBA MJERA ZA POTICANJE KONKURENTNOSTI</t>
  </si>
  <si>
    <t>Kapitalne pomoći</t>
  </si>
  <si>
    <t>Kapitalne pomoći obrtnicima</t>
  </si>
  <si>
    <t>RAZVOJ I ODRŽAVANJE SRED.INF.SUSTAV MG</t>
  </si>
  <si>
    <t>SUBVENCIJE KAMATA ZA PODUZETNIČKE KREDITE</t>
  </si>
  <si>
    <t>ULAGANJE U FONDOVE ZA GOSPODARSKU SURAD.</t>
  </si>
  <si>
    <t>531</t>
  </si>
  <si>
    <t>Prenosi EU sredstava subjektima izvan općeg</t>
  </si>
  <si>
    <t>Tekuće prijenosi EU sredstava subjektima izvan općeg</t>
  </si>
  <si>
    <t>0481</t>
  </si>
  <si>
    <t>POTICANJE EDUKACIJE -SEECEL-REGIONALNI RAZ.</t>
  </si>
  <si>
    <t>512</t>
  </si>
  <si>
    <t>Izdaci za dane depozite neprofitnim org</t>
  </si>
  <si>
    <t>Zajmovi neprofitnim organizacijama</t>
  </si>
  <si>
    <t>OP REGIONALNA KONKURENTNOST, PRIORITET 2 I 3</t>
  </si>
  <si>
    <t>386</t>
  </si>
  <si>
    <t>PROVEDBA EU STRATEGIJE ZA DUNAVSKU REGIJU</t>
  </si>
  <si>
    <t>81</t>
  </si>
  <si>
    <t>Ostale naknade troškova zaposlenika</t>
  </si>
  <si>
    <t>Negativne tečajne razlike</t>
  </si>
  <si>
    <t>Izdaci za otplatu glavnice primljenih kredita</t>
  </si>
  <si>
    <t>A560095</t>
  </si>
  <si>
    <t>MLADI U PODUZETNIŠTVU I POD.POČETNICI - MIKROKREDITI</t>
  </si>
  <si>
    <t xml:space="preserve">Subvencije trg.društvima, poljoprivrednicima i obrtnicima izvan javnog sektora </t>
  </si>
  <si>
    <t>Subvencije poljoprivrednicima i obrtnicima</t>
  </si>
  <si>
    <t>516</t>
  </si>
  <si>
    <t>Izdaci za dane zajmove trg.društvima i obrtnicima izvan javnog sektora</t>
  </si>
  <si>
    <t>Dani zajmovi tuzemnim trg.društvima izvan javnog sektora</t>
  </si>
  <si>
    <t>Dani zajmovi tuzemnim obrtnicima</t>
  </si>
  <si>
    <t>JAMSTVA ZA MALO GOSPODARSTVO</t>
  </si>
  <si>
    <t xml:space="preserve">Kapitalne pomoći kreditnim i ostalim institucijama te trg.društvima izvan javnog sektora </t>
  </si>
  <si>
    <t>Kapitalne pomoći poljoprivrednicima i obrtnicima</t>
  </si>
  <si>
    <t>POTPORE INOVACIJSKOM PROCESU</t>
  </si>
  <si>
    <t>0150</t>
  </si>
  <si>
    <t>BICRO BIOCENTAR</t>
  </si>
  <si>
    <t>Subvencije trg. društvima u javnom sektoru</t>
  </si>
  <si>
    <t>Subvencije trgovačkim društvima U javnom sektoru</t>
  </si>
  <si>
    <t xml:space="preserve">Tekuće donacije  </t>
  </si>
  <si>
    <t>EUROPSKA PODUZETNIČKA MREŽA</t>
  </si>
  <si>
    <t>EUROPSKI PROJEKTI</t>
  </si>
  <si>
    <t xml:space="preserve"> Ostale naknade građanima i kućanstvima</t>
  </si>
  <si>
    <t>OP KONKURENTNOST I KOHEZIJA 2014.-2020. -PT2</t>
  </si>
  <si>
    <t>Službena, radna i zaštitna odjeća</t>
  </si>
  <si>
    <t>Članarine i norme</t>
  </si>
  <si>
    <t xml:space="preserve">Prijevozna sredstva </t>
  </si>
  <si>
    <t>Prijevozna sredstva u cestovnom prijevozu</t>
  </si>
  <si>
    <t xml:space="preserve">Nematerijalna proizvedena imovina </t>
  </si>
  <si>
    <t>533</t>
  </si>
  <si>
    <t>Dionice i udjeli u glavnici kred. I ostalih finan.institucija</t>
  </si>
  <si>
    <t>5332</t>
  </si>
  <si>
    <t>MREŽA PODUZETNIČKIH I POTPORNIH INSTITUCIJA - BSO</t>
  </si>
  <si>
    <t>PROJEKT PODUZETNIČKOG KAPITALA ZA INOVACIJE I PODUZETNIŠTVO</t>
  </si>
  <si>
    <t>NAKNADE ZA UPRAVLJANJE FINAN.INSTRUMENTIMA IZ ESI FONDOVA 2014. - 2020.</t>
  </si>
  <si>
    <t>Subvencije trg.društvima izvan javnog sektora</t>
  </si>
  <si>
    <t>04995</t>
  </si>
  <si>
    <t>IZVOR 559-OSTALE REFUNDACIJE IZ POMOĆI EU</t>
  </si>
  <si>
    <t>IZVOR 561-EUROSKI SOCIJALNI FOND</t>
  </si>
  <si>
    <t>PROJEKT PROSAFE - MS TYR 15</t>
  </si>
  <si>
    <t>A817077</t>
  </si>
  <si>
    <t xml:space="preserve">ukupno po izvorima </t>
  </si>
  <si>
    <t>3228 JAČANJE KONKURENTNOSTI MALOG I SREDNJEG PODUZETNIŠTVA</t>
  </si>
  <si>
    <t>Poslovni objekti</t>
  </si>
  <si>
    <t>04990</t>
  </si>
  <si>
    <t>HAMAG-BICRO</t>
  </si>
  <si>
    <t>A913001</t>
  </si>
  <si>
    <t>K913002</t>
  </si>
  <si>
    <t>A913003</t>
  </si>
  <si>
    <t>A913004</t>
  </si>
  <si>
    <t>A913007</t>
  </si>
  <si>
    <t>A913008</t>
  </si>
  <si>
    <t>A913009</t>
  </si>
  <si>
    <t>PROGRAMI EUREKA I EUROSTARS</t>
  </si>
  <si>
    <t>A913010</t>
  </si>
  <si>
    <t>A913011</t>
  </si>
  <si>
    <t>A913012</t>
  </si>
  <si>
    <t>A913013</t>
  </si>
  <si>
    <t>Donos</t>
  </si>
  <si>
    <t>MINISTARSTVO GOSPODARSTVA,</t>
  </si>
  <si>
    <t xml:space="preserve"> PODUZETNIŠTVA I OBRTA</t>
  </si>
  <si>
    <t>PRIJEDLOG FINANCIJSKOG PLANA</t>
  </si>
  <si>
    <t>ZA RAZDOBLJE 2017. - 2019.</t>
  </si>
  <si>
    <t>Prijedlog plana       2017.</t>
  </si>
  <si>
    <t>Prijedlog plana       2018.</t>
  </si>
  <si>
    <t>Prijedlog plana       2019.</t>
  </si>
  <si>
    <t>Ministarstvo gospodarstva, poduzetništva i obrta</t>
  </si>
  <si>
    <t>LIMIT MF</t>
  </si>
  <si>
    <t>K817087</t>
  </si>
  <si>
    <t>A648087</t>
  </si>
  <si>
    <t>A817083</t>
  </si>
  <si>
    <t>A817080</t>
  </si>
  <si>
    <t>T817088</t>
  </si>
  <si>
    <t>A817079</t>
  </si>
  <si>
    <t>A817078</t>
  </si>
  <si>
    <t>A817082</t>
  </si>
  <si>
    <t>K648088</t>
  </si>
  <si>
    <t>A914001</t>
  </si>
  <si>
    <t>PROMOCIJA I JAČANJE ZADRUŽNOG PODUZETNIŠTVA</t>
  </si>
  <si>
    <t>STRATEGIJA GOSPODARENJA MINERALNIM SIROVINAMA RH</t>
  </si>
  <si>
    <t>A822059</t>
  </si>
  <si>
    <t>RAZVOJ I ODRŽAVANJE OBRTNOG REGISTRA</t>
  </si>
  <si>
    <t>Tekuće pomoći unutar opće države</t>
  </si>
  <si>
    <t>Pomoći unutar općeg proračuna</t>
  </si>
  <si>
    <t xml:space="preserve">Ostale nespomenute usluge </t>
  </si>
  <si>
    <t>Naknade osobama izvan radnog odnosa</t>
  </si>
  <si>
    <t>Ugovorne kazne i ostale naknade šteta</t>
  </si>
  <si>
    <t>Naknada za rad pred. I izvršnih tijela, povjerenstava i sl.</t>
  </si>
  <si>
    <t>0484</t>
  </si>
  <si>
    <t>Ministarstvo gospodarstva,  poduzetništva i obrta</t>
  </si>
  <si>
    <t>UKUPNO MINISTARSTVO GOSPODARSTVA,
 PODUZETNIŠTVA I OBRTA</t>
  </si>
  <si>
    <t>Materijalna imovina - prirodna bogatstva</t>
  </si>
  <si>
    <t>Zemljište</t>
  </si>
  <si>
    <t>Izdaci za depozite i jamčevne pologe</t>
  </si>
  <si>
    <t>Izdaci za depozite u tuzemnim kreditnim i ostalim financijskim institucijam</t>
  </si>
  <si>
    <t xml:space="preserve"> 323</t>
  </si>
  <si>
    <t>JAVNI DUG izvor 11</t>
  </si>
  <si>
    <t>JAVNI DUG izvor 12</t>
  </si>
  <si>
    <t>JAVNI DUG izvor 81</t>
  </si>
  <si>
    <t>JAVNI DUG izvor 563</t>
  </si>
  <si>
    <t>IZVOR 81-NAMJENSKI PRIMICI OD ZADUŽIVANJA</t>
  </si>
  <si>
    <t>PLAN  U LIMITU</t>
  </si>
  <si>
    <t xml:space="preserve">PRIJEDLOG FINANCIJSKOG PLANA ZA 2017.-2019. </t>
  </si>
  <si>
    <t>Materijal i dijelovi za tekuće i investicijsko održavanje</t>
  </si>
  <si>
    <t>ukupno po programima</t>
  </si>
  <si>
    <t>Ostale naknade građanima i kućanstvima iz proračuna</t>
  </si>
  <si>
    <t>Kazne, penali i naknade šteta</t>
  </si>
  <si>
    <t>Naknade za rad članovima predstavničkih izvršnih tijela i upr.vijeća</t>
  </si>
  <si>
    <t>Subvencije trgovačkim društvima i zadrugama izvan javnog sektora</t>
  </si>
  <si>
    <t>Subvencije trgovačkim društvima, zadrugama poljoprivrednicima i obrtnicima izvan javnog sektora</t>
  </si>
  <si>
    <t>Kapitalne pomoći kreditnim i ost.fin.institucijamate  trgovačkim društvima i zadrugama izvan javnog sektora</t>
  </si>
  <si>
    <t>Dionice i udjeli u glavnici kreditnih i ostalih fin.institucija u javnom sektoru</t>
  </si>
  <si>
    <t>Dionice i udjeli u glavnici ostalih fin.institucija u javnom sektoru</t>
  </si>
  <si>
    <t>limit od MF</t>
  </si>
  <si>
    <t>41</t>
  </si>
  <si>
    <t>OP UČINKOVITI LJUDSKI POTENCIJALI 2014-2020</t>
  </si>
  <si>
    <t>A817089</t>
  </si>
  <si>
    <t>MEĐUNARODNE AKTIVNOSTI ZA RAZVOJ I PROMOCIJU PODUZETNIŠTVA</t>
  </si>
  <si>
    <t>UNAPREĐENJE POSLOVNE KLIME</t>
  </si>
  <si>
    <t>Kapitalne pomoći iz EU sredstava</t>
  </si>
  <si>
    <t xml:space="preserve">Kapitalne pomoći subjektima izvan javnim sektoru iz EU sredstava </t>
  </si>
  <si>
    <t>Subvencije trgovačkim društvima, zadrugama poljoprivrednicima i obrtnicima iiz EU sredstava</t>
  </si>
  <si>
    <t>Subvencije trgovačkim društvima,zadrugama, poljoprivrednicima i obrtnicima iz EU sredstva</t>
  </si>
  <si>
    <t>Kapitalne pomoć iz EU sredstava</t>
  </si>
  <si>
    <t>A913006</t>
  </si>
  <si>
    <t>353</t>
  </si>
  <si>
    <t>Subvencije trg.društvima, zadrugama, poljoprivrednicima i obrtnicima iz EU sredstava</t>
  </si>
  <si>
    <t>3531</t>
  </si>
  <si>
    <t xml:space="preserve">IZVOR 41-PRIHODI OD IGARA NA SREĆU </t>
  </si>
  <si>
    <t>Zagreb, 5. prosinca 2016.</t>
  </si>
  <si>
    <t>A822089</t>
  </si>
  <si>
    <t>Predsjednik Uprave: Vjeran Vrbanec</t>
  </si>
  <si>
    <t>HAMAG BICRO</t>
  </si>
  <si>
    <t>FINANCIJSKI PLAN RASHODA</t>
  </si>
  <si>
    <t>FINANCIJSKI PLAN PRIHODA</t>
  </si>
  <si>
    <t>Subvencije trg.društvima, zadrugama, poljop. i obrtnicima iz EU sredstava</t>
  </si>
  <si>
    <t>Izvor financiranja</t>
  </si>
  <si>
    <t>Odjeljak</t>
  </si>
  <si>
    <t xml:space="preserve">OP KONKURENTNOST I KOHEZIJA-FINANCIJSKI INSTUMENTI IZ ESI FONDOVA 2014.-2020. </t>
  </si>
  <si>
    <t>Rashodi za zaposlene</t>
  </si>
  <si>
    <t>32</t>
  </si>
  <si>
    <t>Materijalni rashodi</t>
  </si>
  <si>
    <t>34</t>
  </si>
  <si>
    <t>Financijski rashodi</t>
  </si>
  <si>
    <t>Rashodi za nabavu neproizvedene dugotrajne imovine</t>
  </si>
  <si>
    <t>Rashodi za nabavu proizvedene dugotrajne imovine</t>
  </si>
  <si>
    <t>42</t>
  </si>
  <si>
    <t>Izdaci za dane zajmove i depozite</t>
  </si>
  <si>
    <t>Izdaci za dionice i udjele u glavnici</t>
  </si>
  <si>
    <t>Naknade građanima i kućanstvima na temelju osiguranja i druge naknade</t>
  </si>
  <si>
    <t>37</t>
  </si>
  <si>
    <t>35</t>
  </si>
  <si>
    <t>Subvencije</t>
  </si>
  <si>
    <t>518</t>
  </si>
  <si>
    <t>38</t>
  </si>
  <si>
    <t>Ostali rashodi</t>
  </si>
  <si>
    <t>Prijedlog plana       2020.</t>
  </si>
  <si>
    <t>0441</t>
  </si>
  <si>
    <t>Subvencije trgovačkim društvima izvan javnog sektora</t>
  </si>
  <si>
    <t>Naknade građanima i kućanstvima  na temelju osiguranja i dr.</t>
  </si>
  <si>
    <t>0443</t>
  </si>
  <si>
    <t>Subvencije trgovačkim društvima u javnom sektoru</t>
  </si>
  <si>
    <t>3512</t>
  </si>
  <si>
    <t xml:space="preserve">   Doprinosi za obvezno osiguranje u slučaju nezaposlenosti</t>
  </si>
  <si>
    <t xml:space="preserve">   Energija</t>
  </si>
  <si>
    <t>PROGRAM PREKOG.SURAD. HRVATSKA-MAĐARSKA (B LIGHT)</t>
  </si>
  <si>
    <t>A913014</t>
  </si>
  <si>
    <t>TEHNIČKO TAJNIŠTVO</t>
  </si>
  <si>
    <t>Prijevozna sredstva u cestovnom prometu</t>
  </si>
  <si>
    <t>Regionalni inovacijski fond</t>
  </si>
  <si>
    <t>PROGRAM EUREKA</t>
  </si>
  <si>
    <t>PROGRAM EUROSTARS</t>
  </si>
  <si>
    <t>552</t>
  </si>
  <si>
    <t xml:space="preserve">Subvencije trg.društvima, poljopr. i obrtnicima izvan j.sektora </t>
  </si>
  <si>
    <t>Subvencije trg.društvima, zadrugama, poljop. i obrt. iz EU sred.</t>
  </si>
  <si>
    <t>Subvencije trg.društvima, zadrugama, poljop. i obrt. iz EU sredstava</t>
  </si>
  <si>
    <t>A913017</t>
  </si>
  <si>
    <t>A913016</t>
  </si>
  <si>
    <t>A913015</t>
  </si>
  <si>
    <t>Naknade građanima i kućanstvima iz EU sredstava</t>
  </si>
  <si>
    <t>3723</t>
  </si>
  <si>
    <t>Subvencije trg.društvima,poljoprivrednicima iz EU sredstava</t>
  </si>
  <si>
    <t>A913018</t>
  </si>
  <si>
    <t>PROGRAM RURALNOG RAZVOJA</t>
  </si>
  <si>
    <t>-32</t>
  </si>
  <si>
    <t>Naknade za prijevoz, za rad na terenu i odvojeni život</t>
  </si>
  <si>
    <t>565</t>
  </si>
  <si>
    <t>Naknade građanima i kućanstvima u novcu iz EU sredstava</t>
  </si>
  <si>
    <t>Izdaci za dane zajmove trg.druš. i obrtnicima izvan javnog sek.</t>
  </si>
  <si>
    <t>Prijedlog plana       2021.</t>
  </si>
  <si>
    <t>Tekući plan 2018.</t>
  </si>
  <si>
    <t>Naknade za prijevoz, za radn na terenu i odvojeni život</t>
  </si>
  <si>
    <t>A91300X</t>
  </si>
  <si>
    <t>TEHNIČKA POMOĆ - PROGRAM RURALNOG RAZVOJA</t>
  </si>
  <si>
    <t>Indeks 2019/2018</t>
  </si>
  <si>
    <t>-312</t>
  </si>
  <si>
    <t>-313</t>
  </si>
  <si>
    <t>-321</t>
  </si>
  <si>
    <t>-322</t>
  </si>
  <si>
    <t>-31</t>
  </si>
  <si>
    <t>A913019</t>
  </si>
  <si>
    <t>PROGRAMI EUREKA</t>
  </si>
  <si>
    <t>REGIONALNI INOVACIJSKI FOND</t>
  </si>
  <si>
    <t>NAKNADA ZA UPRAVLJANJE - PROGRAM RURALNOG RAZVOJA</t>
  </si>
  <si>
    <t>izdaci</t>
  </si>
  <si>
    <t>Naknade građanima i kućanstvimana temelju osig.i dr.naknade</t>
  </si>
  <si>
    <t>izdaci plus 4ke</t>
  </si>
  <si>
    <t>Predsjednik Uprave:</t>
  </si>
  <si>
    <t>Vjeran Vrbanec</t>
  </si>
  <si>
    <t>Mario Turalija</t>
  </si>
  <si>
    <t>Prijedlog plana       2022.</t>
  </si>
  <si>
    <t>POTPORA ZA ISTRAŽIVAČKO RAZVOJNE PROJEKTE</t>
  </si>
  <si>
    <t>MREŽA PODUZETNIČKIH POTPORNIH INSTITUCIJA - BOND</t>
  </si>
  <si>
    <t>A913020</t>
  </si>
  <si>
    <t xml:space="preserve">Tekuće pomoći inozemnim vladama </t>
  </si>
  <si>
    <t>Pomoći u inozemstvo i unutar općeg proračuna</t>
  </si>
  <si>
    <t>Pomoći inozemnim vladama</t>
  </si>
  <si>
    <t>2020.</t>
  </si>
  <si>
    <t>2021.</t>
  </si>
  <si>
    <t>2022.</t>
  </si>
  <si>
    <t>Zamjenik predsjednika:</t>
  </si>
  <si>
    <t>FINANCIJSKI PLAN RASHODA 2020. - 2022.</t>
  </si>
  <si>
    <t>FINANCIJSKI PLAN PRIHODA 2020.-2022.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</si>
</sst>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&quot;- &quot;@"/>
    <numFmt numFmtId="166" formatCode="dd/mm/yy/;@"/>
    <numFmt numFmtId="167" formatCode="h:mm:ss;@"/>
  </numFmts>
  <fonts count="57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i/>
      <sz val="9"/>
      <color theme="1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/>
      </left>
      <right style="thin">
        <color indexed="18"/>
      </right>
      <top style="thin">
        <color theme="3"/>
      </top>
      <bottom style="thin">
        <color theme="3"/>
      </bottom>
      <diagonal/>
    </border>
    <border>
      <left style="thin">
        <color indexed="18"/>
      </left>
      <right style="thin">
        <color indexed="18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20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 justifyLastLine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 justifyLastLine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 justifyLastLine="1"/>
    </xf>
    <xf numFmtId="4" fontId="2" fillId="3" borderId="3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 justifyLastLine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 justifyLastLine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 justifyLastLine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4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2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7" fillId="43" borderId="3" applyNumberFormat="0" applyProtection="0">
      <alignment horizontal="left" vertical="center" indent="1" justifyLastLine="1"/>
    </xf>
    <xf numFmtId="0" fontId="14" fillId="0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164" fontId="43" fillId="0" borderId="0" applyFont="0" applyFill="0" applyBorder="0" applyAlignment="0" applyProtection="0"/>
    <xf numFmtId="0" fontId="49" fillId="0" borderId="0"/>
    <xf numFmtId="0" fontId="50" fillId="0" borderId="0"/>
    <xf numFmtId="4" fontId="2" fillId="28" borderId="107" applyNumberFormat="0" applyProtection="0">
      <alignment vertical="center"/>
    </xf>
    <xf numFmtId="4" fontId="13" fillId="29" borderId="107" applyNumberFormat="0" applyProtection="0">
      <alignment vertical="center"/>
    </xf>
    <xf numFmtId="4" fontId="2" fillId="29" borderId="107" applyNumberFormat="0" applyProtection="0">
      <alignment horizontal="left" vertical="center" indent="1" justifyLastLine="1"/>
    </xf>
    <xf numFmtId="0" fontId="6" fillId="28" borderId="108" applyNumberFormat="0" applyProtection="0">
      <alignment horizontal="left" vertical="top" indent="1"/>
    </xf>
    <xf numFmtId="4" fontId="2" fillId="30" borderId="107" applyNumberFormat="0" applyProtection="0">
      <alignment horizontal="left" vertical="center" indent="1" justifyLastLine="1"/>
    </xf>
    <xf numFmtId="4" fontId="2" fillId="31" borderId="107" applyNumberFormat="0" applyProtection="0">
      <alignment horizontal="right" vertical="center"/>
    </xf>
    <xf numFmtId="4" fontId="2" fillId="32" borderId="107" applyNumberFormat="0" applyProtection="0">
      <alignment horizontal="right" vertical="center"/>
    </xf>
    <xf numFmtId="4" fontId="2" fillId="33" borderId="109" applyNumberFormat="0" applyProtection="0">
      <alignment horizontal="right" vertical="center"/>
    </xf>
    <xf numFmtId="4" fontId="2" fillId="9" borderId="107" applyNumberFormat="0" applyProtection="0">
      <alignment horizontal="right" vertical="center"/>
    </xf>
    <xf numFmtId="4" fontId="2" fillId="34" borderId="107" applyNumberFormat="0" applyProtection="0">
      <alignment horizontal="right" vertical="center"/>
    </xf>
    <xf numFmtId="4" fontId="2" fillId="35" borderId="107" applyNumberFormat="0" applyProtection="0">
      <alignment horizontal="right" vertical="center"/>
    </xf>
    <xf numFmtId="4" fontId="2" fillId="7" borderId="107" applyNumberFormat="0" applyProtection="0">
      <alignment horizontal="right" vertical="center"/>
    </xf>
    <xf numFmtId="4" fontId="2" fillId="4" borderId="107" applyNumberFormat="0" applyProtection="0">
      <alignment horizontal="right" vertical="center"/>
    </xf>
    <xf numFmtId="4" fontId="2" fillId="36" borderId="107" applyNumberFormat="0" applyProtection="0">
      <alignment horizontal="right" vertical="center"/>
    </xf>
    <xf numFmtId="4" fontId="2" fillId="37" borderId="109" applyNumberFormat="0" applyProtection="0">
      <alignment horizontal="left" vertical="center" indent="1" justifyLastLine="1"/>
    </xf>
    <xf numFmtId="4" fontId="5" fillId="8" borderId="109" applyNumberFormat="0" applyProtection="0">
      <alignment horizontal="left" vertical="center" indent="1" justifyLastLine="1"/>
    </xf>
    <xf numFmtId="4" fontId="5" fillId="8" borderId="109" applyNumberFormat="0" applyProtection="0">
      <alignment horizontal="left" vertical="center" indent="1" justifyLastLine="1"/>
    </xf>
    <xf numFmtId="4" fontId="2" fillId="3" borderId="107" applyNumberFormat="0" applyProtection="0">
      <alignment horizontal="right" vertical="center"/>
    </xf>
    <xf numFmtId="4" fontId="2" fillId="5" borderId="109" applyNumberFormat="0" applyProtection="0">
      <alignment horizontal="left" vertical="center" indent="1" justifyLastLine="1"/>
    </xf>
    <xf numFmtId="4" fontId="2" fillId="3" borderId="109" applyNumberFormat="0" applyProtection="0">
      <alignment horizontal="left" vertical="center" indent="1" justifyLastLine="1"/>
    </xf>
    <xf numFmtId="0" fontId="2" fillId="6" borderId="107" applyNumberFormat="0" applyProtection="0">
      <alignment horizontal="left" vertical="center" indent="1" justifyLastLine="1"/>
    </xf>
    <xf numFmtId="0" fontId="2" fillId="8" borderId="108" applyNumberFormat="0" applyProtection="0">
      <alignment horizontal="left" vertical="top" indent="1"/>
    </xf>
    <xf numFmtId="0" fontId="2" fillId="38" borderId="107" applyNumberFormat="0" applyProtection="0">
      <alignment horizontal="left" vertical="center" indent="1" justifyLastLine="1"/>
    </xf>
    <xf numFmtId="0" fontId="2" fillId="3" borderId="108" applyNumberFormat="0" applyProtection="0">
      <alignment horizontal="left" vertical="top" indent="1"/>
    </xf>
    <xf numFmtId="0" fontId="2" fillId="39" borderId="107" applyNumberFormat="0" applyProtection="0">
      <alignment horizontal="left" vertical="center" indent="1" justifyLastLine="1"/>
    </xf>
    <xf numFmtId="0" fontId="2" fillId="39" borderId="108" applyNumberFormat="0" applyProtection="0">
      <alignment horizontal="left" vertical="top" indent="1"/>
    </xf>
    <xf numFmtId="0" fontId="2" fillId="5" borderId="107" applyNumberFormat="0" applyProtection="0">
      <alignment horizontal="left" vertical="center" indent="1" justifyLastLine="1"/>
    </xf>
    <xf numFmtId="0" fontId="2" fillId="5" borderId="108" applyNumberFormat="0" applyProtection="0">
      <alignment horizontal="left" vertical="top" indent="1"/>
    </xf>
    <xf numFmtId="0" fontId="3" fillId="8" borderId="110" applyBorder="0"/>
    <xf numFmtId="4" fontId="4" fillId="41" borderId="108" applyNumberFormat="0" applyProtection="0">
      <alignment vertical="center"/>
    </xf>
    <xf numFmtId="4" fontId="14" fillId="0" borderId="111" applyNumberFormat="0" applyProtection="0">
      <alignment vertical="center"/>
    </xf>
    <xf numFmtId="4" fontId="4" fillId="6" borderId="108" applyNumberFormat="0" applyProtection="0">
      <alignment horizontal="left" vertical="center" indent="1"/>
    </xf>
    <xf numFmtId="0" fontId="4" fillId="41" borderId="108" applyNumberFormat="0" applyProtection="0">
      <alignment horizontal="left" vertical="top" indent="1"/>
    </xf>
    <xf numFmtId="4" fontId="2" fillId="0" borderId="107" applyNumberFormat="0" applyProtection="0">
      <alignment horizontal="right" vertical="center"/>
    </xf>
    <xf numFmtId="4" fontId="13" fillId="42" borderId="107" applyNumberFormat="0" applyProtection="0">
      <alignment horizontal="right" vertical="center"/>
    </xf>
    <xf numFmtId="4" fontId="2" fillId="30" borderId="107" applyNumberFormat="0" applyProtection="0">
      <alignment horizontal="left" vertical="center" indent="1" justifyLastLine="1"/>
    </xf>
    <xf numFmtId="0" fontId="4" fillId="3" borderId="108" applyNumberFormat="0" applyProtection="0">
      <alignment horizontal="left" vertical="top" indent="1"/>
    </xf>
    <xf numFmtId="4" fontId="7" fillId="43" borderId="109" applyNumberFormat="0" applyProtection="0">
      <alignment horizontal="left" vertical="center" indent="1" justifyLastLine="1"/>
    </xf>
    <xf numFmtId="0" fontId="14" fillId="0" borderId="111"/>
    <xf numFmtId="4" fontId="8" fillId="40" borderId="107" applyNumberFormat="0" applyProtection="0">
      <alignment horizontal="right" vertical="center"/>
    </xf>
    <xf numFmtId="164" fontId="43" fillId="0" borderId="0" applyFont="0" applyFill="0" applyBorder="0" applyAlignment="0" applyProtection="0"/>
    <xf numFmtId="4" fontId="14" fillId="0" borderId="125" applyNumberFormat="0" applyProtection="0">
      <alignment vertical="center"/>
    </xf>
    <xf numFmtId="4" fontId="4" fillId="41" borderId="122" applyNumberFormat="0" applyProtection="0">
      <alignment vertical="center"/>
    </xf>
    <xf numFmtId="4" fontId="2" fillId="34" borderId="126" applyNumberFormat="0" applyProtection="0">
      <alignment horizontal="right" vertical="center"/>
    </xf>
    <xf numFmtId="4" fontId="2" fillId="9" borderId="126" applyNumberFormat="0" applyProtection="0">
      <alignment horizontal="right" vertical="center"/>
    </xf>
    <xf numFmtId="4" fontId="2" fillId="33" borderId="128" applyNumberFormat="0" applyProtection="0">
      <alignment horizontal="right" vertical="center"/>
    </xf>
    <xf numFmtId="4" fontId="2" fillId="32" borderId="126" applyNumberFormat="0" applyProtection="0">
      <alignment horizontal="right" vertical="center"/>
    </xf>
    <xf numFmtId="4" fontId="2" fillId="31" borderId="126" applyNumberFormat="0" applyProtection="0">
      <alignment horizontal="right" vertical="center"/>
    </xf>
    <xf numFmtId="4" fontId="2" fillId="30" borderId="126" applyNumberFormat="0" applyProtection="0">
      <alignment horizontal="left" vertical="center" indent="1" justifyLastLine="1"/>
    </xf>
    <xf numFmtId="0" fontId="6" fillId="28" borderId="127" applyNumberFormat="0" applyProtection="0">
      <alignment horizontal="left" vertical="top" indent="1"/>
    </xf>
    <xf numFmtId="4" fontId="2" fillId="29" borderId="126" applyNumberFormat="0" applyProtection="0">
      <alignment horizontal="left" vertical="center" indent="1" justifyLastLine="1"/>
    </xf>
    <xf numFmtId="4" fontId="13" fillId="29" borderId="126" applyNumberFormat="0" applyProtection="0">
      <alignment vertical="center"/>
    </xf>
    <xf numFmtId="4" fontId="2" fillId="28" borderId="126" applyNumberFormat="0" applyProtection="0">
      <alignment vertical="center"/>
    </xf>
    <xf numFmtId="4" fontId="8" fillId="40" borderId="121" applyNumberFormat="0" applyProtection="0">
      <alignment horizontal="right" vertical="center"/>
    </xf>
    <xf numFmtId="0" fontId="14" fillId="0" borderId="125"/>
    <xf numFmtId="4" fontId="7" fillId="43" borderId="123" applyNumberFormat="0" applyProtection="0">
      <alignment horizontal="left" vertical="center" indent="1" justifyLastLine="1"/>
    </xf>
    <xf numFmtId="0" fontId="4" fillId="3" borderId="122" applyNumberFormat="0" applyProtection="0">
      <alignment horizontal="left" vertical="top" indent="1"/>
    </xf>
    <xf numFmtId="4" fontId="2" fillId="0" borderId="121" applyNumberFormat="0" applyProtection="0">
      <alignment horizontal="right" vertical="center"/>
    </xf>
    <xf numFmtId="0" fontId="4" fillId="41" borderId="122" applyNumberFormat="0" applyProtection="0">
      <alignment horizontal="left" vertical="top" indent="1"/>
    </xf>
    <xf numFmtId="4" fontId="4" fillId="6" borderId="122" applyNumberFormat="0" applyProtection="0">
      <alignment horizontal="left" vertical="center" indent="1"/>
    </xf>
    <xf numFmtId="0" fontId="2" fillId="5" borderId="122" applyNumberFormat="0" applyProtection="0">
      <alignment horizontal="left" vertical="top" indent="1"/>
    </xf>
    <xf numFmtId="0" fontId="2" fillId="5" borderId="121" applyNumberFormat="0" applyProtection="0">
      <alignment horizontal="left" vertical="center" indent="1" justifyLastLine="1"/>
    </xf>
    <xf numFmtId="0" fontId="2" fillId="39" borderId="122" applyNumberFormat="0" applyProtection="0">
      <alignment horizontal="left" vertical="top" indent="1"/>
    </xf>
    <xf numFmtId="0" fontId="2" fillId="39" borderId="121" applyNumberFormat="0" applyProtection="0">
      <alignment horizontal="left" vertical="center" indent="1" justifyLastLine="1"/>
    </xf>
    <xf numFmtId="0" fontId="2" fillId="3" borderId="122" applyNumberFormat="0" applyProtection="0">
      <alignment horizontal="left" vertical="top" indent="1"/>
    </xf>
    <xf numFmtId="0" fontId="2" fillId="38" borderId="121" applyNumberFormat="0" applyProtection="0">
      <alignment horizontal="left" vertical="center" indent="1" justifyLastLine="1"/>
    </xf>
    <xf numFmtId="0" fontId="2" fillId="8" borderId="122" applyNumberFormat="0" applyProtection="0">
      <alignment horizontal="left" vertical="top" indent="1"/>
    </xf>
    <xf numFmtId="0" fontId="2" fillId="6" borderId="121" applyNumberFormat="0" applyProtection="0">
      <alignment horizontal="left" vertical="center" indent="1" justifyLastLine="1"/>
    </xf>
    <xf numFmtId="4" fontId="2" fillId="5" borderId="123" applyNumberFormat="0" applyProtection="0">
      <alignment horizontal="left" vertical="center" indent="1" justifyLastLine="1"/>
    </xf>
    <xf numFmtId="4" fontId="2" fillId="3" borderId="121" applyNumberFormat="0" applyProtection="0">
      <alignment horizontal="right" vertical="center"/>
    </xf>
    <xf numFmtId="4" fontId="5" fillId="8" borderId="123" applyNumberFormat="0" applyProtection="0">
      <alignment horizontal="left" vertical="center" indent="1" justifyLastLine="1"/>
    </xf>
    <xf numFmtId="4" fontId="5" fillId="8" borderId="123" applyNumberFormat="0" applyProtection="0">
      <alignment horizontal="left" vertical="center" indent="1" justifyLastLine="1"/>
    </xf>
    <xf numFmtId="4" fontId="2" fillId="37" borderId="123" applyNumberFormat="0" applyProtection="0">
      <alignment horizontal="left" vertical="center" indent="1" justifyLastLine="1"/>
    </xf>
    <xf numFmtId="4" fontId="2" fillId="36" borderId="121" applyNumberFormat="0" applyProtection="0">
      <alignment horizontal="right" vertical="center"/>
    </xf>
    <xf numFmtId="4" fontId="2" fillId="4" borderId="121" applyNumberFormat="0" applyProtection="0">
      <alignment horizontal="right" vertical="center"/>
    </xf>
    <xf numFmtId="4" fontId="2" fillId="35" borderId="121" applyNumberFormat="0" applyProtection="0">
      <alignment horizontal="right" vertical="center"/>
    </xf>
    <xf numFmtId="4" fontId="2" fillId="9" borderId="121" applyNumberFormat="0" applyProtection="0">
      <alignment horizontal="right" vertical="center"/>
    </xf>
    <xf numFmtId="4" fontId="2" fillId="32" borderId="121" applyNumberFormat="0" applyProtection="0">
      <alignment horizontal="right" vertical="center"/>
    </xf>
    <xf numFmtId="4" fontId="2" fillId="31" borderId="121" applyNumberFormat="0" applyProtection="0">
      <alignment horizontal="right" vertical="center"/>
    </xf>
    <xf numFmtId="0" fontId="6" fillId="28" borderId="122" applyNumberFormat="0" applyProtection="0">
      <alignment horizontal="left" vertical="top" indent="1"/>
    </xf>
    <xf numFmtId="4" fontId="13" fillId="29" borderId="121" applyNumberFormat="0" applyProtection="0">
      <alignment vertical="center"/>
    </xf>
    <xf numFmtId="4" fontId="2" fillId="28" borderId="121" applyNumberFormat="0" applyProtection="0">
      <alignment vertical="center"/>
    </xf>
    <xf numFmtId="4" fontId="2" fillId="30" borderId="121" applyNumberFormat="0" applyProtection="0">
      <alignment horizontal="left" vertical="center" indent="1" justifyLastLine="1"/>
    </xf>
    <xf numFmtId="0" fontId="3" fillId="8" borderId="124" applyBorder="0"/>
    <xf numFmtId="4" fontId="2" fillId="28" borderId="118" applyNumberFormat="0" applyProtection="0">
      <alignment vertical="center"/>
    </xf>
    <xf numFmtId="4" fontId="13" fillId="29" borderId="118" applyNumberFormat="0" applyProtection="0">
      <alignment vertical="center"/>
    </xf>
    <xf numFmtId="4" fontId="2" fillId="29" borderId="118" applyNumberFormat="0" applyProtection="0">
      <alignment horizontal="left" vertical="center" indent="1" justifyLastLine="1"/>
    </xf>
    <xf numFmtId="0" fontId="6" fillId="28" borderId="119" applyNumberFormat="0" applyProtection="0">
      <alignment horizontal="left" vertical="top" indent="1"/>
    </xf>
    <xf numFmtId="4" fontId="2" fillId="30" borderId="118" applyNumberFormat="0" applyProtection="0">
      <alignment horizontal="left" vertical="center" indent="1" justifyLastLine="1"/>
    </xf>
    <xf numFmtId="4" fontId="2" fillId="31" borderId="118" applyNumberFormat="0" applyProtection="0">
      <alignment horizontal="right" vertical="center"/>
    </xf>
    <xf numFmtId="4" fontId="2" fillId="32" borderId="118" applyNumberFormat="0" applyProtection="0">
      <alignment horizontal="right" vertical="center"/>
    </xf>
    <xf numFmtId="4" fontId="2" fillId="3" borderId="123" applyNumberFormat="0" applyProtection="0">
      <alignment horizontal="left" vertical="center" indent="1" justifyLastLine="1"/>
    </xf>
    <xf numFmtId="4" fontId="2" fillId="9" borderId="118" applyNumberFormat="0" applyProtection="0">
      <alignment horizontal="right" vertical="center"/>
    </xf>
    <xf numFmtId="4" fontId="2" fillId="34" borderId="118" applyNumberFormat="0" applyProtection="0">
      <alignment horizontal="right" vertical="center"/>
    </xf>
    <xf numFmtId="4" fontId="2" fillId="35" borderId="118" applyNumberFormat="0" applyProtection="0">
      <alignment horizontal="right" vertical="center"/>
    </xf>
    <xf numFmtId="4" fontId="2" fillId="7" borderId="118" applyNumberFormat="0" applyProtection="0">
      <alignment horizontal="right" vertical="center"/>
    </xf>
    <xf numFmtId="4" fontId="2" fillId="4" borderId="118" applyNumberFormat="0" applyProtection="0">
      <alignment horizontal="right" vertical="center"/>
    </xf>
    <xf numFmtId="4" fontId="2" fillId="36" borderId="118" applyNumberFormat="0" applyProtection="0">
      <alignment horizontal="right" vertical="center"/>
    </xf>
    <xf numFmtId="4" fontId="2" fillId="7" borderId="121" applyNumberFormat="0" applyProtection="0">
      <alignment horizontal="right" vertical="center"/>
    </xf>
    <xf numFmtId="4" fontId="2" fillId="34" borderId="121" applyNumberFormat="0" applyProtection="0">
      <alignment horizontal="right" vertical="center"/>
    </xf>
    <xf numFmtId="4" fontId="2" fillId="33" borderId="123" applyNumberFormat="0" applyProtection="0">
      <alignment horizontal="right" vertical="center"/>
    </xf>
    <xf numFmtId="4" fontId="2" fillId="3" borderId="118" applyNumberFormat="0" applyProtection="0">
      <alignment horizontal="right" vertical="center"/>
    </xf>
    <xf numFmtId="4" fontId="2" fillId="30" borderId="121" applyNumberFormat="0" applyProtection="0">
      <alignment horizontal="left" vertical="center" indent="1" justifyLastLine="1"/>
    </xf>
    <xf numFmtId="4" fontId="2" fillId="29" borderId="121" applyNumberFormat="0" applyProtection="0">
      <alignment horizontal="left" vertical="center" indent="1" justifyLastLine="1"/>
    </xf>
    <xf numFmtId="0" fontId="2" fillId="6" borderId="118" applyNumberFormat="0" applyProtection="0">
      <alignment horizontal="left" vertical="center" indent="1" justifyLastLine="1"/>
    </xf>
    <xf numFmtId="0" fontId="2" fillId="8" borderId="119" applyNumberFormat="0" applyProtection="0">
      <alignment horizontal="left" vertical="top" indent="1"/>
    </xf>
    <xf numFmtId="0" fontId="2" fillId="38" borderId="118" applyNumberFormat="0" applyProtection="0">
      <alignment horizontal="left" vertical="center" indent="1" justifyLastLine="1"/>
    </xf>
    <xf numFmtId="0" fontId="2" fillId="3" borderId="119" applyNumberFormat="0" applyProtection="0">
      <alignment horizontal="left" vertical="top" indent="1"/>
    </xf>
    <xf numFmtId="0" fontId="2" fillId="39" borderId="118" applyNumberFormat="0" applyProtection="0">
      <alignment horizontal="left" vertical="center" indent="1" justifyLastLine="1"/>
    </xf>
    <xf numFmtId="0" fontId="2" fillId="39" borderId="119" applyNumberFormat="0" applyProtection="0">
      <alignment horizontal="left" vertical="top" indent="1"/>
    </xf>
    <xf numFmtId="0" fontId="2" fillId="5" borderId="118" applyNumberFormat="0" applyProtection="0">
      <alignment horizontal="left" vertical="center" indent="1" justifyLastLine="1"/>
    </xf>
    <xf numFmtId="0" fontId="2" fillId="5" borderId="119" applyNumberFormat="0" applyProtection="0">
      <alignment horizontal="left" vertical="top" indent="1"/>
    </xf>
    <xf numFmtId="0" fontId="3" fillId="8" borderId="120" applyBorder="0"/>
    <xf numFmtId="4" fontId="4" fillId="41" borderId="119" applyNumberFormat="0" applyProtection="0">
      <alignment vertical="center"/>
    </xf>
    <xf numFmtId="4" fontId="4" fillId="6" borderId="119" applyNumberFormat="0" applyProtection="0">
      <alignment horizontal="left" vertical="center" indent="1"/>
    </xf>
    <xf numFmtId="0" fontId="4" fillId="41" borderId="119" applyNumberFormat="0" applyProtection="0">
      <alignment horizontal="left" vertical="top" indent="1"/>
    </xf>
    <xf numFmtId="4" fontId="2" fillId="0" borderId="118" applyNumberFormat="0" applyProtection="0">
      <alignment horizontal="right" vertical="center"/>
    </xf>
    <xf numFmtId="4" fontId="13" fillId="42" borderId="118" applyNumberFormat="0" applyProtection="0">
      <alignment horizontal="right" vertical="center"/>
    </xf>
    <xf numFmtId="4" fontId="2" fillId="30" borderId="118" applyNumberFormat="0" applyProtection="0">
      <alignment horizontal="left" vertical="center" indent="1" justifyLastLine="1"/>
    </xf>
    <xf numFmtId="0" fontId="4" fillId="3" borderId="119" applyNumberFormat="0" applyProtection="0">
      <alignment horizontal="left" vertical="top" indent="1"/>
    </xf>
    <xf numFmtId="4" fontId="8" fillId="40" borderId="118" applyNumberFormat="0" applyProtection="0">
      <alignment horizontal="right" vertical="center"/>
    </xf>
    <xf numFmtId="4" fontId="13" fillId="42" borderId="121" applyNumberFormat="0" applyProtection="0">
      <alignment horizontal="right" vertical="center"/>
    </xf>
    <xf numFmtId="4" fontId="2" fillId="35" borderId="126" applyNumberFormat="0" applyProtection="0">
      <alignment horizontal="right" vertical="center"/>
    </xf>
    <xf numFmtId="4" fontId="2" fillId="7" borderId="126" applyNumberFormat="0" applyProtection="0">
      <alignment horizontal="right" vertical="center"/>
    </xf>
    <xf numFmtId="4" fontId="2" fillId="4" borderId="126" applyNumberFormat="0" applyProtection="0">
      <alignment horizontal="right" vertical="center"/>
    </xf>
    <xf numFmtId="4" fontId="2" fillId="36" borderId="126" applyNumberFormat="0" applyProtection="0">
      <alignment horizontal="right" vertical="center"/>
    </xf>
    <xf numFmtId="4" fontId="2" fillId="37" borderId="128" applyNumberFormat="0" applyProtection="0">
      <alignment horizontal="left" vertical="center" indent="1" justifyLastLine="1"/>
    </xf>
    <xf numFmtId="4" fontId="5" fillId="8" borderId="128" applyNumberFormat="0" applyProtection="0">
      <alignment horizontal="left" vertical="center" indent="1" justifyLastLine="1"/>
    </xf>
    <xf numFmtId="4" fontId="5" fillId="8" borderId="128" applyNumberFormat="0" applyProtection="0">
      <alignment horizontal="left" vertical="center" indent="1" justifyLastLine="1"/>
    </xf>
    <xf numFmtId="4" fontId="2" fillId="3" borderId="126" applyNumberFormat="0" applyProtection="0">
      <alignment horizontal="right" vertical="center"/>
    </xf>
    <xf numFmtId="4" fontId="2" fillId="5" borderId="128" applyNumberFormat="0" applyProtection="0">
      <alignment horizontal="left" vertical="center" indent="1" justifyLastLine="1"/>
    </xf>
    <xf numFmtId="4" fontId="2" fillId="3" borderId="128" applyNumberFormat="0" applyProtection="0">
      <alignment horizontal="left" vertical="center" indent="1" justifyLastLine="1"/>
    </xf>
    <xf numFmtId="0" fontId="2" fillId="6" borderId="126" applyNumberFormat="0" applyProtection="0">
      <alignment horizontal="left" vertical="center" indent="1" justifyLastLine="1"/>
    </xf>
    <xf numFmtId="0" fontId="2" fillId="8" borderId="127" applyNumberFormat="0" applyProtection="0">
      <alignment horizontal="left" vertical="top" indent="1"/>
    </xf>
    <xf numFmtId="0" fontId="2" fillId="38" borderId="126" applyNumberFormat="0" applyProtection="0">
      <alignment horizontal="left" vertical="center" indent="1" justifyLastLine="1"/>
    </xf>
    <xf numFmtId="0" fontId="2" fillId="3" borderId="127" applyNumberFormat="0" applyProtection="0">
      <alignment horizontal="left" vertical="top" indent="1"/>
    </xf>
    <xf numFmtId="0" fontId="2" fillId="39" borderId="126" applyNumberFormat="0" applyProtection="0">
      <alignment horizontal="left" vertical="center" indent="1" justifyLastLine="1"/>
    </xf>
    <xf numFmtId="0" fontId="2" fillId="39" borderId="127" applyNumberFormat="0" applyProtection="0">
      <alignment horizontal="left" vertical="top" indent="1"/>
    </xf>
    <xf numFmtId="0" fontId="2" fillId="5" borderId="126" applyNumberFormat="0" applyProtection="0">
      <alignment horizontal="left" vertical="center" indent="1" justifyLastLine="1"/>
    </xf>
    <xf numFmtId="0" fontId="2" fillId="5" borderId="127" applyNumberFormat="0" applyProtection="0">
      <alignment horizontal="left" vertical="top" indent="1"/>
    </xf>
    <xf numFmtId="0" fontId="3" fillId="8" borderId="129" applyBorder="0"/>
    <xf numFmtId="4" fontId="4" fillId="41" borderId="127" applyNumberFormat="0" applyProtection="0">
      <alignment vertical="center"/>
    </xf>
    <xf numFmtId="4" fontId="14" fillId="0" borderId="130" applyNumberFormat="0" applyProtection="0">
      <alignment vertical="center"/>
    </xf>
    <xf numFmtId="4" fontId="4" fillId="6" borderId="127" applyNumberFormat="0" applyProtection="0">
      <alignment horizontal="left" vertical="center" indent="1"/>
    </xf>
    <xf numFmtId="0" fontId="4" fillId="41" borderId="127" applyNumberFormat="0" applyProtection="0">
      <alignment horizontal="left" vertical="top" indent="1"/>
    </xf>
    <xf numFmtId="4" fontId="2" fillId="0" borderId="126" applyNumberFormat="0" applyProtection="0">
      <alignment horizontal="right" vertical="center"/>
    </xf>
    <xf numFmtId="4" fontId="13" fillId="42" borderId="126" applyNumberFormat="0" applyProtection="0">
      <alignment horizontal="right" vertical="center"/>
    </xf>
    <xf numFmtId="4" fontId="2" fillId="30" borderId="126" applyNumberFormat="0" applyProtection="0">
      <alignment horizontal="left" vertical="center" indent="1" justifyLastLine="1"/>
    </xf>
    <xf numFmtId="0" fontId="4" fillId="3" borderId="127" applyNumberFormat="0" applyProtection="0">
      <alignment horizontal="left" vertical="top" indent="1"/>
    </xf>
    <xf numFmtId="4" fontId="7" fillId="43" borderId="128" applyNumberFormat="0" applyProtection="0">
      <alignment horizontal="left" vertical="center" indent="1" justifyLastLine="1"/>
    </xf>
    <xf numFmtId="0" fontId="14" fillId="0" borderId="130"/>
    <xf numFmtId="4" fontId="8" fillId="40" borderId="126" applyNumberFormat="0" applyProtection="0">
      <alignment horizontal="right" vertical="center"/>
    </xf>
  </cellStyleXfs>
  <cellXfs count="1116">
    <xf numFmtId="0" fontId="0" fillId="0" borderId="0" xfId="0"/>
    <xf numFmtId="4" fontId="15" fillId="0" borderId="1" xfId="23" applyFont="1" applyFill="1">
      <alignment vertical="center"/>
    </xf>
    <xf numFmtId="0" fontId="2" fillId="0" borderId="1" xfId="49" quotePrefix="1" applyFill="1">
      <alignment horizontal="left" vertical="center" indent="1" justifyLastLine="1"/>
    </xf>
    <xf numFmtId="4" fontId="2" fillId="0" borderId="1" xfId="57">
      <alignment horizontal="right" vertical="center"/>
    </xf>
    <xf numFmtId="49" fontId="2" fillId="0" borderId="1" xfId="23" applyNumberFormat="1" applyFill="1" applyAlignment="1">
      <alignment horizontal="center" vertical="center"/>
    </xf>
    <xf numFmtId="49" fontId="15" fillId="0" borderId="1" xfId="23" applyNumberFormat="1" applyFont="1" applyFill="1" applyAlignment="1">
      <alignment horizontal="center" vertical="center"/>
    </xf>
    <xf numFmtId="0" fontId="15" fillId="0" borderId="1" xfId="49" quotePrefix="1" applyFont="1" applyFill="1">
      <alignment horizontal="left" vertical="center" indent="1" justifyLastLine="1"/>
    </xf>
    <xf numFmtId="49" fontId="2" fillId="0" borderId="1" xfId="57" applyNumberFormat="1" applyAlignment="1">
      <alignment horizontal="center" vertical="center"/>
    </xf>
    <xf numFmtId="0" fontId="15" fillId="44" borderId="1" xfId="47" quotePrefix="1" applyFont="1" applyFill="1">
      <alignment horizontal="left" vertical="center" indent="1" justifyLastLine="1"/>
    </xf>
    <xf numFmtId="4" fontId="15" fillId="44" borderId="1" xfId="23" applyFont="1" applyFill="1">
      <alignment vertical="center"/>
    </xf>
    <xf numFmtId="49" fontId="15" fillId="44" borderId="1" xfId="23" applyNumberFormat="1" applyFont="1" applyFill="1" applyAlignment="1">
      <alignment horizontal="center" vertical="center"/>
    </xf>
    <xf numFmtId="0" fontId="2" fillId="0" borderId="10" xfId="49" quotePrefix="1" applyFill="1" applyBorder="1">
      <alignment horizontal="left" vertical="center" indent="1" justifyLastLine="1"/>
    </xf>
    <xf numFmtId="4" fontId="2" fillId="0" borderId="10" xfId="57" applyBorder="1">
      <alignment horizontal="right" vertical="center"/>
    </xf>
    <xf numFmtId="49" fontId="2" fillId="0" borderId="10" xfId="57" applyNumberFormat="1" applyBorder="1" applyAlignment="1">
      <alignment horizontal="center" vertical="center"/>
    </xf>
    <xf numFmtId="0" fontId="15" fillId="0" borderId="1" xfId="49" applyFont="1" applyFill="1">
      <alignment horizontal="left" vertical="center" indent="1" justifyLastLine="1"/>
    </xf>
    <xf numFmtId="49" fontId="15" fillId="0" borderId="16" xfId="23" applyNumberFormat="1" applyFont="1" applyFill="1" applyBorder="1" applyAlignment="1">
      <alignment horizontal="center" vertical="center"/>
    </xf>
    <xf numFmtId="0" fontId="15" fillId="0" borderId="16" xfId="49" quotePrefix="1" applyFont="1" applyFill="1" applyBorder="1">
      <alignment horizontal="left" vertical="center" indent="1" justifyLastLine="1"/>
    </xf>
    <xf numFmtId="0" fontId="2" fillId="0" borderId="16" xfId="49" quotePrefix="1" applyFill="1" applyBorder="1">
      <alignment horizontal="left" vertical="center" indent="1" justifyLastLine="1"/>
    </xf>
    <xf numFmtId="49" fontId="2" fillId="0" borderId="16" xfId="23" applyNumberFormat="1" applyFill="1" applyBorder="1" applyAlignment="1">
      <alignment horizontal="center" vertical="center"/>
    </xf>
    <xf numFmtId="3" fontId="15" fillId="0" borderId="1" xfId="23" applyNumberFormat="1" applyFont="1" applyFill="1" applyAlignment="1">
      <alignment horizontal="center" vertical="center"/>
    </xf>
    <xf numFmtId="49" fontId="16" fillId="46" borderId="19" xfId="23" applyNumberFormat="1" applyFont="1" applyFill="1" applyBorder="1" applyAlignment="1">
      <alignment horizontal="center" vertical="center"/>
    </xf>
    <xf numFmtId="4" fontId="16" fillId="46" borderId="19" xfId="23" applyFont="1" applyFill="1" applyBorder="1">
      <alignment vertical="center"/>
    </xf>
    <xf numFmtId="4" fontId="0" fillId="0" borderId="0" xfId="0" applyNumberFormat="1"/>
    <xf numFmtId="0" fontId="15" fillId="44" borderId="16" xfId="47" quotePrefix="1" applyFont="1" applyFill="1" applyBorder="1">
      <alignment horizontal="left" vertical="center" indent="1" justifyLastLine="1"/>
    </xf>
    <xf numFmtId="49" fontId="15" fillId="44" borderId="16" xfId="23" applyNumberFormat="1" applyFont="1" applyFill="1" applyBorder="1" applyAlignment="1">
      <alignment horizontal="center" vertical="center"/>
    </xf>
    <xf numFmtId="4" fontId="19" fillId="44" borderId="15" xfId="0" applyNumberFormat="1" applyFont="1" applyFill="1" applyBorder="1"/>
    <xf numFmtId="0" fontId="15" fillId="44" borderId="1" xfId="47" applyFont="1" applyFill="1">
      <alignment horizontal="left" vertical="center" indent="1" justifyLastLine="1"/>
    </xf>
    <xf numFmtId="3" fontId="15" fillId="44" borderId="1" xfId="23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4" fontId="22" fillId="47" borderId="19" xfId="23" applyFont="1" applyFill="1" applyBorder="1">
      <alignment vertical="center"/>
    </xf>
    <xf numFmtId="49" fontId="22" fillId="47" borderId="19" xfId="23" applyNumberFormat="1" applyFont="1" applyFill="1" applyBorder="1" applyAlignment="1">
      <alignment horizontal="center" vertical="center"/>
    </xf>
    <xf numFmtId="0" fontId="2" fillId="0" borderId="25" xfId="49" applyFill="1" applyBorder="1">
      <alignment horizontal="left" vertical="center" indent="1" justifyLastLine="1"/>
    </xf>
    <xf numFmtId="0" fontId="15" fillId="0" borderId="7" xfId="49" quotePrefix="1" applyFont="1" applyFill="1" applyBorder="1">
      <alignment horizontal="left" vertical="center" indent="1" justifyLastLine="1"/>
    </xf>
    <xf numFmtId="49" fontId="15" fillId="0" borderId="7" xfId="23" applyNumberFormat="1" applyFont="1" applyFill="1" applyBorder="1" applyAlignment="1">
      <alignment horizontal="center" vertical="center"/>
    </xf>
    <xf numFmtId="0" fontId="15" fillId="44" borderId="20" xfId="47" quotePrefix="1" applyFont="1" applyFill="1" applyBorder="1">
      <alignment horizontal="left" vertical="center" indent="1" justifyLastLine="1"/>
    </xf>
    <xf numFmtId="49" fontId="15" fillId="44" borderId="20" xfId="23" applyNumberFormat="1" applyFont="1" applyFill="1" applyBorder="1" applyAlignment="1">
      <alignment horizontal="center" vertical="center"/>
    </xf>
    <xf numFmtId="0" fontId="24" fillId="0" borderId="0" xfId="0" applyFont="1"/>
    <xf numFmtId="3" fontId="16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1" fillId="0" borderId="0" xfId="0" applyNumberFormat="1" applyFont="1"/>
    <xf numFmtId="165" fontId="15" fillId="0" borderId="19" xfId="49" quotePrefix="1" applyNumberFormat="1" applyFont="1" applyFill="1" applyBorder="1" applyAlignment="1">
      <alignment horizontal="center" vertical="center" justifyLastLine="1"/>
    </xf>
    <xf numFmtId="0" fontId="15" fillId="0" borderId="19" xfId="49" quotePrefix="1" applyFont="1" applyFill="1" applyBorder="1">
      <alignment horizontal="left" vertical="center" indent="1" justifyLastLine="1"/>
    </xf>
    <xf numFmtId="49" fontId="15" fillId="0" borderId="19" xfId="23" applyNumberFormat="1" applyFont="1" applyFill="1" applyBorder="1" applyAlignment="1">
      <alignment horizontal="center" vertical="center"/>
    </xf>
    <xf numFmtId="4" fontId="15" fillId="0" borderId="19" xfId="23" applyFont="1" applyFill="1" applyBorder="1">
      <alignment vertical="center"/>
    </xf>
    <xf numFmtId="49" fontId="1" fillId="0" borderId="19" xfId="23" applyNumberFormat="1" applyFont="1" applyFill="1" applyBorder="1" applyAlignment="1">
      <alignment horizontal="center" vertical="center"/>
    </xf>
    <xf numFmtId="4" fontId="1" fillId="0" borderId="19" xfId="23" applyFont="1" applyFill="1" applyBorder="1">
      <alignment vertical="center"/>
    </xf>
    <xf numFmtId="0" fontId="2" fillId="0" borderId="10" xfId="49" quotePrefix="1" applyFill="1" applyBorder="1" applyAlignment="1">
      <alignment horizontal="center" vertical="center" justifyLastLine="1"/>
    </xf>
    <xf numFmtId="4" fontId="1" fillId="0" borderId="10" xfId="57" applyFont="1" applyBorder="1">
      <alignment horizontal="right" vertical="center"/>
    </xf>
    <xf numFmtId="0" fontId="15" fillId="0" borderId="10" xfId="49" quotePrefix="1" applyFont="1" applyFill="1" applyBorder="1" applyAlignment="1">
      <alignment horizontal="center" vertical="center" justifyLastLine="1"/>
    </xf>
    <xf numFmtId="0" fontId="15" fillId="0" borderId="10" xfId="49" quotePrefix="1" applyFont="1" applyFill="1" applyBorder="1">
      <alignment horizontal="left" vertical="center" indent="1" justifyLastLine="1"/>
    </xf>
    <xf numFmtId="49" fontId="15" fillId="0" borderId="19" xfId="57" applyNumberFormat="1" applyFont="1" applyBorder="1" applyAlignment="1">
      <alignment horizontal="center" vertical="center"/>
    </xf>
    <xf numFmtId="4" fontId="15" fillId="0" borderId="10" xfId="57" applyFont="1" applyBorder="1">
      <alignment horizontal="right" vertical="center"/>
    </xf>
    <xf numFmtId="3" fontId="15" fillId="0" borderId="10" xfId="57" applyNumberFormat="1" applyFont="1" applyBorder="1" applyAlignment="1">
      <alignment horizontal="center" vertical="center"/>
    </xf>
    <xf numFmtId="165" fontId="15" fillId="45" borderId="19" xfId="49" quotePrefix="1" applyNumberFormat="1" applyFont="1" applyFill="1" applyBorder="1" applyAlignment="1">
      <alignment horizontal="center" vertical="center" justifyLastLine="1"/>
    </xf>
    <xf numFmtId="0" fontId="15" fillId="45" borderId="19" xfId="49" quotePrefix="1" applyFont="1" applyFill="1" applyBorder="1">
      <alignment horizontal="left" vertical="center" indent="1" justifyLastLine="1"/>
    </xf>
    <xf numFmtId="49" fontId="15" fillId="45" borderId="19" xfId="23" applyNumberFormat="1" applyFont="1" applyFill="1" applyBorder="1" applyAlignment="1">
      <alignment horizontal="center" vertical="center"/>
    </xf>
    <xf numFmtId="4" fontId="15" fillId="45" borderId="19" xfId="23" applyFont="1" applyFill="1" applyBorder="1">
      <alignment vertical="center"/>
    </xf>
    <xf numFmtId="0" fontId="1" fillId="0" borderId="19" xfId="49" quotePrefix="1" applyFont="1" applyFill="1" applyBorder="1" applyAlignment="1">
      <alignment horizontal="center" vertical="center" justifyLastLine="1"/>
    </xf>
    <xf numFmtId="4" fontId="1" fillId="45" borderId="19" xfId="57" applyFont="1" applyFill="1" applyBorder="1">
      <alignment horizontal="right" vertical="center"/>
    </xf>
    <xf numFmtId="4" fontId="1" fillId="0" borderId="19" xfId="57" applyFont="1" applyBorder="1">
      <alignment horizontal="right" vertical="center"/>
    </xf>
    <xf numFmtId="0" fontId="1" fillId="45" borderId="19" xfId="49" quotePrefix="1" applyFont="1" applyFill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165" fontId="15" fillId="44" borderId="1" xfId="47" quotePrefix="1" applyNumberFormat="1" applyFont="1" applyFill="1" applyAlignment="1">
      <alignment horizontal="center" vertical="center" justifyLastLine="1"/>
    </xf>
    <xf numFmtId="165" fontId="15" fillId="0" borderId="1" xfId="49" quotePrefix="1" applyNumberFormat="1" applyFont="1" applyFill="1" applyAlignment="1">
      <alignment horizontal="center" vertical="center" justifyLastLine="1"/>
    </xf>
    <xf numFmtId="0" fontId="2" fillId="0" borderId="1" xfId="49" quotePrefix="1" applyFill="1" applyAlignment="1">
      <alignment horizontal="center" vertical="center" justifyLastLine="1"/>
    </xf>
    <xf numFmtId="165" fontId="15" fillId="44" borderId="20" xfId="47" quotePrefix="1" applyNumberFormat="1" applyFont="1" applyFill="1" applyBorder="1" applyAlignment="1">
      <alignment horizontal="center" vertical="center" justifyLastLine="1"/>
    </xf>
    <xf numFmtId="165" fontId="15" fillId="0" borderId="7" xfId="49" quotePrefix="1" applyNumberFormat="1" applyFont="1" applyFill="1" applyBorder="1" applyAlignment="1">
      <alignment horizontal="center" vertical="center" justifyLastLine="1"/>
    </xf>
    <xf numFmtId="165" fontId="15" fillId="44" borderId="16" xfId="47" quotePrefix="1" applyNumberFormat="1" applyFont="1" applyFill="1" applyBorder="1" applyAlignment="1">
      <alignment horizontal="center" vertical="center" justifyLastLine="1"/>
    </xf>
    <xf numFmtId="165" fontId="15" fillId="0" borderId="16" xfId="49" quotePrefix="1" applyNumberFormat="1" applyFont="1" applyFill="1" applyBorder="1" applyAlignment="1">
      <alignment horizontal="center" vertical="center" justifyLastLine="1"/>
    </xf>
    <xf numFmtId="0" fontId="2" fillId="0" borderId="16" xfId="49" quotePrefix="1" applyFill="1" applyBorder="1" applyAlignment="1">
      <alignment horizontal="center" vertical="center" justifyLastLine="1"/>
    </xf>
    <xf numFmtId="2" fontId="21" fillId="0" borderId="22" xfId="0" applyNumberFormat="1" applyFont="1" applyBorder="1" applyAlignment="1">
      <alignment vertical="center" wrapText="1"/>
    </xf>
    <xf numFmtId="165" fontId="16" fillId="48" borderId="30" xfId="45" quotePrefix="1" applyNumberFormat="1" applyFont="1" applyFill="1" applyBorder="1" applyAlignment="1">
      <alignment vertical="center" justifyLastLine="1"/>
    </xf>
    <xf numFmtId="0" fontId="16" fillId="48" borderId="31" xfId="45" quotePrefix="1" applyFont="1" applyFill="1" applyBorder="1" applyAlignment="1">
      <alignment vertical="center" justifyLastLine="1"/>
    </xf>
    <xf numFmtId="0" fontId="16" fillId="48" borderId="8" xfId="27" quotePrefix="1" applyNumberFormat="1" applyFont="1" applyFill="1" applyBorder="1" applyAlignment="1">
      <alignment horizontal="center" vertical="center" wrapText="1"/>
    </xf>
    <xf numFmtId="4" fontId="16" fillId="48" borderId="19" xfId="23" applyFont="1" applyFill="1" applyBorder="1">
      <alignment vertical="center"/>
    </xf>
    <xf numFmtId="4" fontId="18" fillId="48" borderId="19" xfId="23" applyFont="1" applyFill="1" applyBorder="1">
      <alignment vertical="center"/>
    </xf>
    <xf numFmtId="0" fontId="17" fillId="48" borderId="15" xfId="0" applyFont="1" applyFill="1" applyBorder="1" applyAlignment="1">
      <alignment horizontal="center"/>
    </xf>
    <xf numFmtId="0" fontId="17" fillId="48" borderId="15" xfId="0" applyFont="1" applyFill="1" applyBorder="1"/>
    <xf numFmtId="0" fontId="16" fillId="48" borderId="16" xfId="27" quotePrefix="1" applyNumberFormat="1" applyFont="1" applyFill="1" applyBorder="1" applyAlignment="1">
      <alignment horizontal="center" vertical="center" wrapText="1"/>
    </xf>
    <xf numFmtId="165" fontId="16" fillId="48" borderId="7" xfId="45" quotePrefix="1" applyNumberFormat="1" applyFont="1" applyFill="1" applyBorder="1" applyAlignment="1">
      <alignment horizontal="center" vertical="center" justifyLastLine="1"/>
    </xf>
    <xf numFmtId="0" fontId="16" fillId="48" borderId="7" xfId="45" quotePrefix="1" applyFont="1" applyFill="1" applyBorder="1">
      <alignment horizontal="left" vertical="center" indent="1" justifyLastLine="1"/>
    </xf>
    <xf numFmtId="49" fontId="16" fillId="48" borderId="1" xfId="23" applyNumberFormat="1" applyFont="1" applyFill="1" applyAlignment="1">
      <alignment horizontal="center" vertical="center"/>
    </xf>
    <xf numFmtId="4" fontId="16" fillId="48" borderId="1" xfId="23" applyFont="1" applyFill="1">
      <alignment vertical="center"/>
    </xf>
    <xf numFmtId="0" fontId="16" fillId="48" borderId="7" xfId="45" quotePrefix="1" applyFont="1" applyFill="1" applyBorder="1" applyAlignment="1">
      <alignment horizontal="left" vertical="center" wrapText="1" indent="1" justifyLastLine="1"/>
    </xf>
    <xf numFmtId="0" fontId="20" fillId="48" borderId="15" xfId="0" applyFont="1" applyFill="1" applyBorder="1" applyAlignment="1">
      <alignment horizontal="center"/>
    </xf>
    <xf numFmtId="0" fontId="20" fillId="48" borderId="15" xfId="0" applyFont="1" applyFill="1" applyBorder="1"/>
    <xf numFmtId="0" fontId="16" fillId="48" borderId="15" xfId="27" quotePrefix="1" applyNumberFormat="1" applyFont="1" applyFill="1" applyBorder="1" applyAlignment="1">
      <alignment horizontal="center" vertical="center" wrapText="1"/>
    </xf>
    <xf numFmtId="3" fontId="16" fillId="46" borderId="19" xfId="23" applyNumberFormat="1" applyFont="1" applyFill="1" applyBorder="1" applyAlignment="1">
      <alignment horizontal="center" vertical="center"/>
    </xf>
    <xf numFmtId="0" fontId="1" fillId="0" borderId="19" xfId="49" quotePrefix="1" applyFont="1" applyFill="1" applyBorder="1">
      <alignment horizontal="left" vertical="center" indent="1" justifyLastLine="1"/>
    </xf>
    <xf numFmtId="0" fontId="28" fillId="0" borderId="0" xfId="0" applyFont="1" applyAlignment="1">
      <alignment horizontal="right"/>
    </xf>
    <xf numFmtId="3" fontId="29" fillId="0" borderId="0" xfId="0" applyNumberFormat="1" applyFont="1" applyAlignment="1">
      <alignment vertical="center"/>
    </xf>
    <xf numFmtId="3" fontId="0" fillId="0" borderId="0" xfId="0" applyNumberFormat="1"/>
    <xf numFmtId="0" fontId="0" fillId="50" borderId="0" xfId="0" applyFill="1"/>
    <xf numFmtId="49" fontId="2" fillId="0" borderId="10" xfId="23" applyNumberFormat="1" applyFill="1" applyBorder="1" applyAlignment="1">
      <alignment horizontal="center" vertical="center"/>
    </xf>
    <xf numFmtId="2" fontId="21" fillId="0" borderId="23" xfId="0" applyNumberFormat="1" applyFont="1" applyBorder="1" applyAlignment="1">
      <alignment vertical="center" wrapText="1"/>
    </xf>
    <xf numFmtId="0" fontId="15" fillId="44" borderId="34" xfId="47" quotePrefix="1" applyFont="1" applyFill="1" applyBorder="1" applyAlignment="1">
      <alignment vertical="center" justifyLastLine="1"/>
    </xf>
    <xf numFmtId="0" fontId="15" fillId="44" borderId="6" xfId="47" quotePrefix="1" applyFont="1" applyFill="1" applyBorder="1" applyAlignment="1">
      <alignment vertical="center" justifyLastLine="1"/>
    </xf>
    <xf numFmtId="0" fontId="2" fillId="45" borderId="19" xfId="47" quotePrefix="1" applyFill="1" applyBorder="1" applyAlignment="1">
      <alignment horizontal="center" vertical="center" justifyLastLine="1"/>
    </xf>
    <xf numFmtId="0" fontId="2" fillId="45" borderId="19" xfId="47" quotePrefix="1" applyFill="1" applyBorder="1" applyAlignment="1">
      <alignment horizontal="left" vertical="center" justifyLastLine="1"/>
    </xf>
    <xf numFmtId="49" fontId="2" fillId="45" borderId="19" xfId="47" applyNumberFormat="1" applyFill="1" applyBorder="1" applyAlignment="1">
      <alignment horizontal="right" vertical="center" justifyLastLine="1"/>
    </xf>
    <xf numFmtId="4" fontId="2" fillId="45" borderId="19" xfId="47" applyNumberFormat="1" applyFill="1" applyBorder="1" applyAlignment="1">
      <alignment horizontal="right" vertical="center" justifyLastLine="1"/>
    </xf>
    <xf numFmtId="49" fontId="2" fillId="45" borderId="19" xfId="47" applyNumberFormat="1" applyFill="1" applyBorder="1" applyAlignment="1">
      <alignment horizontal="center" vertical="center" justifyLastLine="1"/>
    </xf>
    <xf numFmtId="0" fontId="2" fillId="45" borderId="1" xfId="49" quotePrefix="1" applyFill="1" applyAlignment="1">
      <alignment horizontal="center" vertical="center" justifyLastLine="1"/>
    </xf>
    <xf numFmtId="0" fontId="2" fillId="45" borderId="1" xfId="49" quotePrefix="1" applyFill="1">
      <alignment horizontal="left" vertical="center" indent="1" justifyLastLine="1"/>
    </xf>
    <xf numFmtId="49" fontId="2" fillId="45" borderId="1" xfId="57" applyNumberFormat="1" applyFill="1" applyAlignment="1">
      <alignment horizontal="center" vertical="center"/>
    </xf>
    <xf numFmtId="4" fontId="2" fillId="45" borderId="1" xfId="57" applyFill="1">
      <alignment horizontal="right" vertical="center"/>
    </xf>
    <xf numFmtId="165" fontId="15" fillId="45" borderId="1" xfId="49" quotePrefix="1" applyNumberFormat="1" applyFont="1" applyFill="1" applyAlignment="1">
      <alignment horizontal="center" vertical="center" justifyLastLine="1"/>
    </xf>
    <xf numFmtId="0" fontId="15" fillId="45" borderId="1" xfId="49" quotePrefix="1" applyFont="1" applyFill="1">
      <alignment horizontal="left" vertical="center" indent="1" justifyLastLine="1"/>
    </xf>
    <xf numFmtId="49" fontId="15" fillId="45" borderId="1" xfId="23" applyNumberFormat="1" applyFont="1" applyFill="1" applyAlignment="1">
      <alignment horizontal="center" vertical="center"/>
    </xf>
    <xf numFmtId="4" fontId="16" fillId="48" borderId="1" xfId="23" applyFont="1" applyFill="1" applyAlignment="1">
      <alignment horizontal="right" vertical="center"/>
    </xf>
    <xf numFmtId="49" fontId="2" fillId="45" borderId="10" xfId="57" applyNumberFormat="1" applyFill="1" applyBorder="1" applyAlignment="1">
      <alignment horizontal="center" vertical="center"/>
    </xf>
    <xf numFmtId="0" fontId="2" fillId="45" borderId="9" xfId="49" quotePrefix="1" applyFill="1" applyBorder="1">
      <alignment horizontal="left" vertical="center" indent="1" justifyLastLine="1"/>
    </xf>
    <xf numFmtId="0" fontId="2" fillId="45" borderId="10" xfId="49" quotePrefix="1" applyFill="1" applyBorder="1" applyAlignment="1">
      <alignment horizontal="center" vertical="center" justifyLastLine="1"/>
    </xf>
    <xf numFmtId="0" fontId="2" fillId="45" borderId="11" xfId="49" quotePrefix="1" applyFill="1" applyBorder="1">
      <alignment horizontal="left" vertical="center" indent="1" justifyLastLine="1"/>
    </xf>
    <xf numFmtId="49" fontId="2" fillId="45" borderId="17" xfId="57" applyNumberFormat="1" applyFill="1" applyBorder="1" applyAlignment="1">
      <alignment horizontal="center" vertical="center"/>
    </xf>
    <xf numFmtId="0" fontId="2" fillId="45" borderId="1" xfId="49" applyFill="1">
      <alignment horizontal="left" vertical="center" indent="1" justifyLastLine="1"/>
    </xf>
    <xf numFmtId="0" fontId="2" fillId="45" borderId="10" xfId="49" applyFill="1" applyBorder="1">
      <alignment horizontal="left" vertical="center" indent="1" justifyLastLine="1"/>
    </xf>
    <xf numFmtId="4" fontId="19" fillId="0" borderId="15" xfId="0" applyNumberFormat="1" applyFont="1" applyBorder="1"/>
    <xf numFmtId="2" fontId="21" fillId="0" borderId="35" xfId="0" applyNumberFormat="1" applyFont="1" applyBorder="1" applyAlignment="1">
      <alignment vertical="center" wrapText="1"/>
    </xf>
    <xf numFmtId="4" fontId="15" fillId="44" borderId="8" xfId="23" applyFont="1" applyFill="1" applyBorder="1">
      <alignment vertical="center"/>
    </xf>
    <xf numFmtId="4" fontId="15" fillId="0" borderId="8" xfId="23" applyFont="1" applyFill="1" applyBorder="1">
      <alignment vertical="center"/>
    </xf>
    <xf numFmtId="4" fontId="2" fillId="0" borderId="8" xfId="57" applyBorder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5" fillId="0" borderId="0" xfId="0" applyFont="1" applyAlignment="1">
      <alignment horizontal="left" vertical="center"/>
    </xf>
    <xf numFmtId="166" fontId="32" fillId="0" borderId="0" xfId="0" applyNumberFormat="1" applyFont="1" applyAlignment="1">
      <alignment horizontal="center" vertical="center"/>
    </xf>
    <xf numFmtId="167" fontId="32" fillId="0" borderId="0" xfId="0" applyNumberFormat="1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5" fillId="0" borderId="1" xfId="49" quotePrefix="1" applyFont="1" applyFill="1" applyAlignment="1">
      <alignment horizontal="center" vertical="center" justifyLastLine="1"/>
    </xf>
    <xf numFmtId="49" fontId="15" fillId="0" borderId="1" xfId="57" applyNumberFormat="1" applyFont="1" applyAlignment="1">
      <alignment horizontal="center" vertical="center"/>
    </xf>
    <xf numFmtId="3" fontId="15" fillId="0" borderId="1" xfId="57" applyNumberFormat="1" applyFont="1" applyAlignment="1">
      <alignment horizontal="center" vertical="center"/>
    </xf>
    <xf numFmtId="0" fontId="4" fillId="41" borderId="36" xfId="53" quotePrefix="1" applyNumberFormat="1" applyBorder="1">
      <alignment vertical="center"/>
    </xf>
    <xf numFmtId="49" fontId="4" fillId="41" borderId="36" xfId="53" applyNumberFormat="1" applyBorder="1" applyAlignment="1">
      <alignment horizontal="center" vertical="center"/>
    </xf>
    <xf numFmtId="0" fontId="4" fillId="41" borderId="36" xfId="53" quotePrefix="1" applyNumberFormat="1" applyBorder="1" applyAlignment="1">
      <alignment horizontal="center" vertical="center"/>
    </xf>
    <xf numFmtId="0" fontId="25" fillId="0" borderId="0" xfId="0" applyFont="1" applyAlignment="1">
      <alignment wrapText="1"/>
    </xf>
    <xf numFmtId="4" fontId="15" fillId="0" borderId="37" xfId="23" applyFont="1" applyFill="1" applyBorder="1">
      <alignment vertical="center"/>
    </xf>
    <xf numFmtId="4" fontId="2" fillId="0" borderId="37" xfId="57" applyBorder="1">
      <alignment horizontal="right" vertical="center"/>
    </xf>
    <xf numFmtId="4" fontId="2" fillId="45" borderId="37" xfId="57" applyFill="1" applyBorder="1">
      <alignment horizontal="right" vertical="center"/>
    </xf>
    <xf numFmtId="4" fontId="1" fillId="0" borderId="37" xfId="23" applyFont="1" applyFill="1" applyBorder="1">
      <alignment vertical="center"/>
    </xf>
    <xf numFmtId="4" fontId="3" fillId="0" borderId="37" xfId="57" applyFont="1" applyBorder="1">
      <alignment horizontal="right" vertical="center"/>
    </xf>
    <xf numFmtId="4" fontId="16" fillId="46" borderId="37" xfId="23" applyFont="1" applyFill="1" applyBorder="1" applyAlignment="1">
      <alignment horizontal="right" vertical="center"/>
    </xf>
    <xf numFmtId="4" fontId="22" fillId="47" borderId="37" xfId="23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15" fillId="44" borderId="1" xfId="23" applyFont="1" applyFill="1" applyAlignment="1">
      <alignment horizontal="right" vertical="center"/>
    </xf>
    <xf numFmtId="4" fontId="15" fillId="0" borderId="1" xfId="23" applyFont="1" applyFill="1" applyAlignment="1">
      <alignment horizontal="right" vertical="center"/>
    </xf>
    <xf numFmtId="4" fontId="2" fillId="45" borderId="37" xfId="47" applyNumberFormat="1" applyFill="1" applyBorder="1" applyAlignment="1">
      <alignment horizontal="right" vertical="center" justifyLastLine="1"/>
    </xf>
    <xf numFmtId="0" fontId="0" fillId="0" borderId="0" xfId="0" applyAlignment="1">
      <alignment horizontal="right"/>
    </xf>
    <xf numFmtId="4" fontId="2" fillId="0" borderId="1" xfId="23" applyFill="1" applyAlignment="1">
      <alignment horizontal="right" vertical="center"/>
    </xf>
    <xf numFmtId="4" fontId="2" fillId="0" borderId="38" xfId="23" applyFill="1" applyBorder="1" applyAlignment="1">
      <alignment horizontal="right" vertical="center"/>
    </xf>
    <xf numFmtId="4" fontId="34" fillId="0" borderId="19" xfId="57" applyFont="1" applyBorder="1">
      <alignment horizontal="right" vertical="center"/>
    </xf>
    <xf numFmtId="4" fontId="1" fillId="45" borderId="43" xfId="57" applyFont="1" applyFill="1" applyBorder="1">
      <alignment horizontal="right" vertical="center"/>
    </xf>
    <xf numFmtId="4" fontId="15" fillId="0" borderId="9" xfId="23" applyFont="1" applyFill="1" applyBorder="1">
      <alignment vertical="center"/>
    </xf>
    <xf numFmtId="49" fontId="1" fillId="0" borderId="19" xfId="57" applyNumberFormat="1" applyFont="1" applyBorder="1" applyAlignment="1">
      <alignment horizontal="center" vertical="center"/>
    </xf>
    <xf numFmtId="0" fontId="1" fillId="45" borderId="19" xfId="49" quotePrefix="1" applyFont="1" applyFill="1" applyBorder="1">
      <alignment horizontal="left" vertical="center" indent="1" justifyLastLine="1"/>
    </xf>
    <xf numFmtId="49" fontId="1" fillId="45" borderId="19" xfId="57" applyNumberFormat="1" applyFont="1" applyFill="1" applyBorder="1" applyAlignment="1">
      <alignment horizontal="center" vertical="center"/>
    </xf>
    <xf numFmtId="0" fontId="1" fillId="0" borderId="25" xfId="49" applyFont="1" applyFill="1" applyBorder="1">
      <alignment horizontal="left" vertical="center" indent="1" justifyLastLine="1"/>
    </xf>
    <xf numFmtId="0" fontId="1" fillId="0" borderId="19" xfId="49" applyFont="1" applyFill="1" applyBorder="1">
      <alignment horizontal="left" vertical="center" indent="1" justifyLastLine="1"/>
    </xf>
    <xf numFmtId="0" fontId="1" fillId="0" borderId="10" xfId="49" quotePrefix="1" applyFont="1" applyFill="1" applyBorder="1" applyAlignment="1">
      <alignment horizontal="center" vertical="center" justifyLastLine="1"/>
    </xf>
    <xf numFmtId="0" fontId="1" fillId="0" borderId="10" xfId="49" quotePrefix="1" applyFont="1" applyFill="1" applyBorder="1">
      <alignment horizontal="left" vertical="center" indent="1" justifyLastLine="1"/>
    </xf>
    <xf numFmtId="4" fontId="15" fillId="0" borderId="19" xfId="57" applyFont="1" applyBorder="1">
      <alignment horizontal="right" vertical="center"/>
    </xf>
    <xf numFmtId="4" fontId="15" fillId="0" borderId="37" xfId="57" applyFont="1" applyBorder="1">
      <alignment horizontal="right" vertical="center"/>
    </xf>
    <xf numFmtId="0" fontId="1" fillId="45" borderId="19" xfId="49" applyFont="1" applyFill="1" applyBorder="1">
      <alignment horizontal="left" vertical="center" indent="1" justifyLastLine="1"/>
    </xf>
    <xf numFmtId="0" fontId="37" fillId="0" borderId="0" xfId="0" applyFont="1"/>
    <xf numFmtId="0" fontId="26" fillId="0" borderId="0" xfId="0" applyFont="1" applyAlignment="1">
      <alignment horizontal="center"/>
    </xf>
    <xf numFmtId="3" fontId="21" fillId="0" borderId="0" xfId="0" applyNumberFormat="1" applyFont="1" applyAlignment="1">
      <alignment vertical="center"/>
    </xf>
    <xf numFmtId="0" fontId="15" fillId="52" borderId="37" xfId="47" quotePrefix="1" applyFont="1" applyFill="1" applyBorder="1">
      <alignment horizontal="left" vertical="center" indent="1" justifyLastLine="1"/>
    </xf>
    <xf numFmtId="49" fontId="15" fillId="52" borderId="37" xfId="23" applyNumberFormat="1" applyFont="1" applyFill="1" applyBorder="1" applyAlignment="1">
      <alignment horizontal="center" vertical="center"/>
    </xf>
    <xf numFmtId="4" fontId="15" fillId="52" borderId="37" xfId="23" applyFont="1" applyFill="1" applyBorder="1">
      <alignment vertical="center"/>
    </xf>
    <xf numFmtId="165" fontId="15" fillId="0" borderId="37" xfId="49" quotePrefix="1" applyNumberFormat="1" applyFont="1" applyFill="1" applyBorder="1" applyAlignment="1">
      <alignment horizontal="center" vertical="center" justifyLastLine="1"/>
    </xf>
    <xf numFmtId="0" fontId="15" fillId="0" borderId="37" xfId="49" quotePrefix="1" applyFont="1" applyFill="1" applyBorder="1">
      <alignment horizontal="left" vertical="center" indent="1" justifyLastLine="1"/>
    </xf>
    <xf numFmtId="0" fontId="2" fillId="0" borderId="37" xfId="49" quotePrefix="1" applyFill="1" applyBorder="1" applyAlignment="1">
      <alignment horizontal="center" vertical="center" justifyLastLine="1"/>
    </xf>
    <xf numFmtId="0" fontId="2" fillId="0" borderId="37" xfId="49" quotePrefix="1" applyFill="1" applyBorder="1">
      <alignment horizontal="left" vertical="center" indent="1" justifyLastLine="1"/>
    </xf>
    <xf numFmtId="49" fontId="2" fillId="0" borderId="37" xfId="57" applyNumberFormat="1" applyBorder="1" applyAlignment="1">
      <alignment horizontal="center" vertical="center"/>
    </xf>
    <xf numFmtId="0" fontId="2" fillId="45" borderId="37" xfId="49" quotePrefix="1" applyFill="1" applyBorder="1" applyAlignment="1">
      <alignment horizontal="center" vertical="center" justifyLastLine="1"/>
    </xf>
    <xf numFmtId="0" fontId="2" fillId="45" borderId="37" xfId="49" quotePrefix="1" applyFill="1" applyBorder="1">
      <alignment horizontal="left" vertical="center" indent="1" justifyLastLine="1"/>
    </xf>
    <xf numFmtId="49" fontId="2" fillId="45" borderId="37" xfId="57" applyNumberFormat="1" applyFill="1" applyBorder="1" applyAlignment="1">
      <alignment horizontal="center" vertical="center"/>
    </xf>
    <xf numFmtId="0" fontId="15" fillId="0" borderId="37" xfId="49" quotePrefix="1" applyFont="1" applyFill="1" applyBorder="1" applyAlignment="1">
      <alignment horizontal="center" vertical="center" justifyLastLine="1"/>
    </xf>
    <xf numFmtId="49" fontId="15" fillId="0" borderId="37" xfId="57" applyNumberFormat="1" applyFont="1" applyBorder="1" applyAlignment="1">
      <alignment horizontal="center" vertical="center"/>
    </xf>
    <xf numFmtId="49" fontId="15" fillId="0" borderId="37" xfId="23" applyNumberFormat="1" applyFont="1" applyFill="1" applyBorder="1" applyAlignment="1">
      <alignment horizontal="center" vertical="center"/>
    </xf>
    <xf numFmtId="0" fontId="2" fillId="0" borderId="38" xfId="49" quotePrefix="1" applyFill="1" applyBorder="1" applyAlignment="1">
      <alignment horizontal="center" vertical="center" justifyLastLine="1"/>
    </xf>
    <xf numFmtId="0" fontId="3" fillId="52" borderId="37" xfId="47" quotePrefix="1" applyFont="1" applyFill="1" applyBorder="1">
      <alignment horizontal="left" vertical="center" indent="1" justifyLastLine="1"/>
    </xf>
    <xf numFmtId="165" fontId="3" fillId="0" borderId="37" xfId="49" quotePrefix="1" applyNumberFormat="1" applyFont="1" applyFill="1" applyBorder="1" applyAlignment="1">
      <alignment horizontal="center" vertical="center" justifyLastLine="1"/>
    </xf>
    <xf numFmtId="0" fontId="3" fillId="0" borderId="37" xfId="49" quotePrefix="1" applyFont="1" applyFill="1" applyBorder="1">
      <alignment horizontal="left" vertical="center" indent="1" justifyLastLine="1"/>
    </xf>
    <xf numFmtId="4" fontId="35" fillId="0" borderId="37" xfId="57" applyFont="1" applyBorder="1">
      <alignment horizontal="right" vertical="center"/>
    </xf>
    <xf numFmtId="49" fontId="3" fillId="0" borderId="37" xfId="57" applyNumberFormat="1" applyFont="1" applyBorder="1" applyAlignment="1">
      <alignment horizontal="center" vertical="center"/>
    </xf>
    <xf numFmtId="49" fontId="15" fillId="45" borderId="37" xfId="23" applyNumberFormat="1" applyFont="1" applyFill="1" applyBorder="1" applyAlignment="1">
      <alignment horizontal="center" vertical="center"/>
    </xf>
    <xf numFmtId="49" fontId="15" fillId="50" borderId="37" xfId="23" applyNumberFormat="1" applyFont="1" applyFill="1" applyBorder="1" applyAlignment="1">
      <alignment horizontal="center" vertical="center"/>
    </xf>
    <xf numFmtId="0" fontId="1" fillId="0" borderId="37" xfId="49" quotePrefix="1" applyFont="1" applyFill="1" applyBorder="1">
      <alignment horizontal="left" vertical="center" indent="1" justifyLastLine="1"/>
    </xf>
    <xf numFmtId="49" fontId="1" fillId="0" borderId="37" xfId="23" applyNumberFormat="1" applyFont="1" applyFill="1" applyBorder="1" applyAlignment="1">
      <alignment horizontal="center" vertical="center"/>
    </xf>
    <xf numFmtId="0" fontId="3" fillId="0" borderId="37" xfId="49" quotePrefix="1" applyFont="1" applyFill="1" applyBorder="1" applyAlignment="1">
      <alignment horizontal="center" vertical="center" justifyLastLine="1"/>
    </xf>
    <xf numFmtId="0" fontId="16" fillId="48" borderId="45" xfId="45" quotePrefix="1" applyFont="1" applyFill="1" applyBorder="1" applyAlignment="1">
      <alignment vertical="center" justifyLastLine="1"/>
    </xf>
    <xf numFmtId="4" fontId="15" fillId="52" borderId="19" xfId="23" applyFont="1" applyFill="1" applyBorder="1">
      <alignment vertical="center"/>
    </xf>
    <xf numFmtId="0" fontId="27" fillId="0" borderId="37" xfId="49" quotePrefix="1" applyFont="1" applyFill="1" applyBorder="1" applyAlignment="1">
      <alignment horizontal="center" vertical="center" justifyLastLine="1"/>
    </xf>
    <xf numFmtId="4" fontId="15" fillId="46" borderId="37" xfId="23" applyFont="1" applyFill="1" applyBorder="1">
      <alignment vertical="center"/>
    </xf>
    <xf numFmtId="0" fontId="40" fillId="0" borderId="0" xfId="0" applyFont="1"/>
    <xf numFmtId="0" fontId="41" fillId="0" borderId="0" xfId="0" applyFont="1" applyAlignment="1">
      <alignment horizontal="right"/>
    </xf>
    <xf numFmtId="0" fontId="41" fillId="0" borderId="0" xfId="0" applyFont="1"/>
    <xf numFmtId="4" fontId="41" fillId="0" borderId="0" xfId="0" applyNumberFormat="1" applyFont="1"/>
    <xf numFmtId="49" fontId="21" fillId="0" borderId="0" xfId="0" applyNumberFormat="1" applyFont="1" applyAlignment="1">
      <alignment vertical="center" wrapText="1"/>
    </xf>
    <xf numFmtId="0" fontId="17" fillId="0" borderId="0" xfId="0" applyFont="1"/>
    <xf numFmtId="0" fontId="21" fillId="0" borderId="0" xfId="0" applyFont="1"/>
    <xf numFmtId="49" fontId="16" fillId="49" borderId="20" xfId="0" applyNumberFormat="1" applyFont="1" applyFill="1" applyBorder="1" applyAlignment="1">
      <alignment horizontal="center" vertical="center" wrapText="1"/>
    </xf>
    <xf numFmtId="0" fontId="16" fillId="0" borderId="0" xfId="0" applyFont="1"/>
    <xf numFmtId="49" fontId="21" fillId="0" borderId="20" xfId="0" applyNumberFormat="1" applyFont="1" applyBorder="1" applyAlignment="1">
      <alignment horizontal="center" vertical="center" wrapText="1"/>
    </xf>
    <xf numFmtId="2" fontId="21" fillId="48" borderId="21" xfId="0" applyNumberFormat="1" applyFont="1" applyFill="1" applyBorder="1" applyAlignment="1">
      <alignment horizontal="center" vertical="center"/>
    </xf>
    <xf numFmtId="2" fontId="16" fillId="48" borderId="21" xfId="0" applyNumberFormat="1" applyFont="1" applyFill="1" applyBorder="1" applyAlignment="1">
      <alignment horizontal="center" vertical="center"/>
    </xf>
    <xf numFmtId="2" fontId="16" fillId="48" borderId="21" xfId="0" applyNumberFormat="1" applyFont="1" applyFill="1" applyBorder="1" applyAlignment="1">
      <alignment vertical="center" wrapText="1"/>
    </xf>
    <xf numFmtId="3" fontId="16" fillId="48" borderId="21" xfId="0" applyNumberFormat="1" applyFont="1" applyFill="1" applyBorder="1" applyAlignment="1">
      <alignment vertical="center"/>
    </xf>
    <xf numFmtId="2" fontId="21" fillId="0" borderId="22" xfId="0" applyNumberFormat="1" applyFont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vertical="center"/>
    </xf>
    <xf numFmtId="3" fontId="21" fillId="0" borderId="23" xfId="0" applyNumberFormat="1" applyFont="1" applyBorder="1" applyAlignment="1">
      <alignment vertical="center"/>
    </xf>
    <xf numFmtId="2" fontId="21" fillId="48" borderId="23" xfId="0" applyNumberFormat="1" applyFont="1" applyFill="1" applyBorder="1" applyAlignment="1">
      <alignment horizontal="center" vertical="center"/>
    </xf>
    <xf numFmtId="2" fontId="16" fillId="48" borderId="23" xfId="0" applyNumberFormat="1" applyFont="1" applyFill="1" applyBorder="1" applyAlignment="1">
      <alignment horizontal="center" vertical="center"/>
    </xf>
    <xf numFmtId="2" fontId="16" fillId="48" borderId="23" xfId="0" applyNumberFormat="1" applyFont="1" applyFill="1" applyBorder="1" applyAlignment="1">
      <alignment vertical="center" wrapText="1"/>
    </xf>
    <xf numFmtId="3" fontId="16" fillId="48" borderId="23" xfId="0" applyNumberFormat="1" applyFont="1" applyFill="1" applyBorder="1" applyAlignment="1">
      <alignment vertical="center"/>
    </xf>
    <xf numFmtId="2" fontId="21" fillId="51" borderId="23" xfId="0" applyNumberFormat="1" applyFont="1" applyFill="1" applyBorder="1" applyAlignment="1">
      <alignment horizontal="center" vertical="center"/>
    </xf>
    <xf numFmtId="2" fontId="16" fillId="51" borderId="23" xfId="0" applyNumberFormat="1" applyFont="1" applyFill="1" applyBorder="1" applyAlignment="1">
      <alignment horizontal="center" vertical="center"/>
    </xf>
    <xf numFmtId="2" fontId="16" fillId="51" borderId="23" xfId="0" applyNumberFormat="1" applyFont="1" applyFill="1" applyBorder="1" applyAlignment="1">
      <alignment vertical="center" wrapText="1"/>
    </xf>
    <xf numFmtId="3" fontId="16" fillId="51" borderId="23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2" fontId="21" fillId="0" borderId="23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49" fontId="21" fillId="51" borderId="23" xfId="0" applyNumberFormat="1" applyFont="1" applyFill="1" applyBorder="1" applyAlignment="1">
      <alignment horizontal="center" vertical="center"/>
    </xf>
    <xf numFmtId="49" fontId="16" fillId="51" borderId="23" xfId="0" applyNumberFormat="1" applyFont="1" applyFill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2" fontId="21" fillId="0" borderId="35" xfId="0" applyNumberFormat="1" applyFont="1" applyBorder="1" applyAlignment="1">
      <alignment horizontal="center" vertical="center"/>
    </xf>
    <xf numFmtId="2" fontId="16" fillId="0" borderId="35" xfId="0" applyNumberFormat="1" applyFont="1" applyBorder="1" applyAlignment="1">
      <alignment horizontal="center" vertical="center"/>
    </xf>
    <xf numFmtId="3" fontId="21" fillId="0" borderId="35" xfId="0" applyNumberFormat="1" applyFont="1" applyBorder="1" applyAlignment="1">
      <alignment vertical="center"/>
    </xf>
    <xf numFmtId="1" fontId="21" fillId="48" borderId="23" xfId="0" applyNumberFormat="1" applyFont="1" applyFill="1" applyBorder="1" applyAlignment="1">
      <alignment horizontal="center" vertical="center"/>
    </xf>
    <xf numFmtId="49" fontId="16" fillId="48" borderId="23" xfId="0" applyNumberFormat="1" applyFont="1" applyFill="1" applyBorder="1" applyAlignment="1">
      <alignment vertical="center" wrapText="1"/>
    </xf>
    <xf numFmtId="49" fontId="21" fillId="49" borderId="20" xfId="0" applyNumberFormat="1" applyFont="1" applyFill="1" applyBorder="1" applyAlignment="1">
      <alignment horizontal="center" vertical="center"/>
    </xf>
    <xf numFmtId="49" fontId="16" fillId="49" borderId="20" xfId="0" applyNumberFormat="1" applyFont="1" applyFill="1" applyBorder="1" applyAlignment="1">
      <alignment horizontal="center" vertical="center"/>
    </xf>
    <xf numFmtId="3" fontId="16" fillId="49" borderId="20" xfId="0" applyNumberFormat="1" applyFont="1" applyFill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0" fontId="2" fillId="52" borderId="37" xfId="49" quotePrefix="1" applyFill="1" applyBorder="1" applyAlignment="1">
      <alignment horizontal="center" vertical="center" justifyLastLine="1"/>
    </xf>
    <xf numFmtId="4" fontId="15" fillId="52" borderId="37" xfId="49" quotePrefix="1" applyNumberFormat="1" applyFont="1" applyFill="1" applyBorder="1" applyAlignment="1">
      <alignment horizontal="right" vertical="center" justifyLastLine="1"/>
    </xf>
    <xf numFmtId="4" fontId="35" fillId="0" borderId="0" xfId="0" applyNumberFormat="1" applyFont="1"/>
    <xf numFmtId="0" fontId="35" fillId="0" borderId="0" xfId="0" applyFont="1"/>
    <xf numFmtId="0" fontId="34" fillId="0" borderId="19" xfId="49" quotePrefix="1" applyFont="1" applyFill="1" applyBorder="1" applyAlignment="1">
      <alignment horizontal="center" vertical="center" justifyLastLine="1"/>
    </xf>
    <xf numFmtId="2" fontId="42" fillId="0" borderId="22" xfId="0" applyNumberFormat="1" applyFont="1" applyBorder="1" applyAlignment="1">
      <alignment horizontal="left" vertical="center" wrapText="1"/>
    </xf>
    <xf numFmtId="4" fontId="26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4" fontId="15" fillId="0" borderId="19" xfId="23" applyFont="1" applyFill="1" applyBorder="1" applyAlignment="1">
      <alignment horizontal="center" vertical="center"/>
    </xf>
    <xf numFmtId="3" fontId="15" fillId="0" borderId="9" xfId="23" applyNumberFormat="1" applyFont="1" applyFill="1" applyBorder="1" applyAlignment="1">
      <alignment horizontal="center" vertical="center"/>
    </xf>
    <xf numFmtId="4" fontId="33" fillId="46" borderId="43" xfId="23" applyFont="1" applyFill="1" applyBorder="1">
      <alignment vertical="center"/>
    </xf>
    <xf numFmtId="4" fontId="15" fillId="46" borderId="43" xfId="23" applyFont="1" applyFill="1" applyBorder="1">
      <alignment vertical="center"/>
    </xf>
    <xf numFmtId="3" fontId="33" fillId="46" borderId="19" xfId="23" applyNumberFormat="1" applyFont="1" applyFill="1" applyBorder="1" applyAlignment="1">
      <alignment horizontal="center" vertical="center"/>
    </xf>
    <xf numFmtId="3" fontId="15" fillId="46" borderId="37" xfId="23" applyNumberFormat="1" applyFont="1" applyFill="1" applyBorder="1" applyAlignment="1">
      <alignment horizontal="center" vertical="center"/>
    </xf>
    <xf numFmtId="4" fontId="15" fillId="46" borderId="19" xfId="23" applyFont="1" applyFill="1" applyBorder="1">
      <alignment vertical="center"/>
    </xf>
    <xf numFmtId="4" fontId="18" fillId="47" borderId="19" xfId="23" applyFont="1" applyFill="1" applyBorder="1">
      <alignment vertical="center"/>
    </xf>
    <xf numFmtId="49" fontId="18" fillId="47" borderId="19" xfId="23" applyNumberFormat="1" applyFont="1" applyFill="1" applyBorder="1" applyAlignment="1">
      <alignment horizontal="center" vertical="center"/>
    </xf>
    <xf numFmtId="3" fontId="15" fillId="46" borderId="43" xfId="23" applyNumberFormat="1" applyFont="1" applyFill="1" applyBorder="1" applyAlignment="1">
      <alignment horizontal="center" vertical="center"/>
    </xf>
    <xf numFmtId="0" fontId="1" fillId="45" borderId="43" xfId="49" quotePrefix="1" applyFont="1" applyFill="1" applyBorder="1" applyAlignment="1">
      <alignment horizontal="center" vertical="center" justifyLastLine="1"/>
    </xf>
    <xf numFmtId="49" fontId="1" fillId="45" borderId="43" xfId="57" applyNumberFormat="1" applyFont="1" applyFill="1" applyBorder="1" applyAlignment="1">
      <alignment horizontal="center" vertical="center"/>
    </xf>
    <xf numFmtId="0" fontId="1" fillId="50" borderId="43" xfId="49" applyFont="1" applyFill="1" applyBorder="1">
      <alignment horizontal="left" vertical="center" indent="1" justifyLastLine="1"/>
    </xf>
    <xf numFmtId="0" fontId="1" fillId="45" borderId="43" xfId="49" applyFont="1" applyFill="1" applyBorder="1">
      <alignment horizontal="left" vertical="center" indent="1" justifyLastLine="1"/>
    </xf>
    <xf numFmtId="4" fontId="15" fillId="50" borderId="43" xfId="57" applyFont="1" applyFill="1" applyBorder="1">
      <alignment horizontal="right" vertical="center"/>
    </xf>
    <xf numFmtId="164" fontId="0" fillId="0" borderId="0" xfId="65" applyFont="1"/>
    <xf numFmtId="164" fontId="0" fillId="0" borderId="0" xfId="0" applyNumberFormat="1"/>
    <xf numFmtId="0" fontId="44" fillId="0" borderId="0" xfId="0" applyFont="1"/>
    <xf numFmtId="4" fontId="35" fillId="0" borderId="37" xfId="23" applyFont="1" applyFill="1" applyBorder="1">
      <alignment vertical="center"/>
    </xf>
    <xf numFmtId="0" fontId="16" fillId="48" borderId="48" xfId="27" quotePrefix="1" applyNumberFormat="1" applyFont="1" applyFill="1" applyBorder="1" applyAlignment="1">
      <alignment horizontal="center" vertical="center" wrapText="1"/>
    </xf>
    <xf numFmtId="0" fontId="16" fillId="48" borderId="48" xfId="27" applyNumberFormat="1" applyFont="1" applyFill="1" applyBorder="1" applyAlignment="1">
      <alignment horizontal="center" vertical="center" wrapText="1"/>
    </xf>
    <xf numFmtId="165" fontId="16" fillId="48" borderId="49" xfId="45" applyNumberFormat="1" applyFont="1" applyFill="1" applyBorder="1" applyAlignment="1">
      <alignment vertical="center" justifyLastLine="1"/>
    </xf>
    <xf numFmtId="4" fontId="16" fillId="48" borderId="43" xfId="23" applyFont="1" applyFill="1" applyBorder="1">
      <alignment vertical="center"/>
    </xf>
    <xf numFmtId="4" fontId="16" fillId="46" borderId="43" xfId="23" applyFont="1" applyFill="1" applyBorder="1">
      <alignment vertical="center"/>
    </xf>
    <xf numFmtId="4" fontId="22" fillId="47" borderId="43" xfId="23" applyFont="1" applyFill="1" applyBorder="1">
      <alignment vertical="center"/>
    </xf>
    <xf numFmtId="165" fontId="15" fillId="0" borderId="43" xfId="49" quotePrefix="1" applyNumberFormat="1" applyFont="1" applyFill="1" applyBorder="1" applyAlignment="1">
      <alignment horizontal="center" vertical="center" justifyLastLine="1"/>
    </xf>
    <xf numFmtId="0" fontId="15" fillId="0" borderId="43" xfId="49" quotePrefix="1" applyFont="1" applyFill="1" applyBorder="1">
      <alignment horizontal="left" vertical="center" indent="1" justifyLastLine="1"/>
    </xf>
    <xf numFmtId="49" fontId="15" fillId="44" borderId="43" xfId="23" applyNumberFormat="1" applyFont="1" applyFill="1" applyBorder="1" applyAlignment="1">
      <alignment horizontal="center" vertical="center"/>
    </xf>
    <xf numFmtId="165" fontId="16" fillId="48" borderId="49" xfId="45" quotePrefix="1" applyNumberFormat="1" applyFont="1" applyFill="1" applyBorder="1" applyAlignment="1">
      <alignment vertical="center" justifyLastLine="1"/>
    </xf>
    <xf numFmtId="165" fontId="15" fillId="52" borderId="43" xfId="47" quotePrefix="1" applyNumberFormat="1" applyFont="1" applyFill="1" applyBorder="1" applyAlignment="1">
      <alignment horizontal="center" vertical="center" justifyLastLine="1"/>
    </xf>
    <xf numFmtId="0" fontId="15" fillId="52" borderId="43" xfId="47" quotePrefix="1" applyFont="1" applyFill="1" applyBorder="1">
      <alignment horizontal="left" vertical="center" indent="1" justifyLastLine="1"/>
    </xf>
    <xf numFmtId="49" fontId="15" fillId="52" borderId="43" xfId="23" applyNumberFormat="1" applyFont="1" applyFill="1" applyBorder="1" applyAlignment="1">
      <alignment horizontal="center" vertical="center"/>
    </xf>
    <xf numFmtId="0" fontId="2" fillId="0" borderId="43" xfId="49" quotePrefix="1" applyFill="1" applyBorder="1" applyAlignment="1">
      <alignment horizontal="center" vertical="center" justifyLastLine="1"/>
    </xf>
    <xf numFmtId="0" fontId="2" fillId="0" borderId="43" xfId="49" quotePrefix="1" applyFill="1" applyBorder="1">
      <alignment horizontal="left" vertical="center" indent="1" justifyLastLine="1"/>
    </xf>
    <xf numFmtId="0" fontId="1" fillId="0" borderId="43" xfId="49" applyFont="1" applyFill="1" applyBorder="1">
      <alignment horizontal="left" vertical="center" indent="1" justifyLastLine="1"/>
    </xf>
    <xf numFmtId="0" fontId="2" fillId="45" borderId="43" xfId="49" quotePrefix="1" applyFill="1" applyBorder="1" applyAlignment="1">
      <alignment horizontal="center" vertical="center" justifyLastLine="1"/>
    </xf>
    <xf numFmtId="0" fontId="2" fillId="45" borderId="43" xfId="49" quotePrefix="1" applyFill="1" applyBorder="1">
      <alignment horizontal="left" vertical="center" indent="1" justifyLastLine="1"/>
    </xf>
    <xf numFmtId="0" fontId="2" fillId="45" borderId="43" xfId="49" applyFill="1" applyBorder="1">
      <alignment horizontal="left" vertical="center" indent="1" justifyLastLine="1"/>
    </xf>
    <xf numFmtId="0" fontId="36" fillId="48" borderId="8" xfId="27" quotePrefix="1" applyNumberFormat="1" applyFont="1" applyFill="1" applyBorder="1" applyAlignment="1">
      <alignment horizontal="center" vertical="center" wrapText="1"/>
    </xf>
    <xf numFmtId="4" fontId="19" fillId="0" borderId="19" xfId="23" applyFont="1" applyFill="1" applyBorder="1">
      <alignment vertical="center"/>
    </xf>
    <xf numFmtId="4" fontId="35" fillId="0" borderId="19" xfId="57" applyFont="1" applyBorder="1">
      <alignment horizontal="right" vertical="center"/>
    </xf>
    <xf numFmtId="4" fontId="35" fillId="45" borderId="19" xfId="57" applyFont="1" applyFill="1" applyBorder="1">
      <alignment horizontal="right" vertical="center"/>
    </xf>
    <xf numFmtId="4" fontId="35" fillId="0" borderId="19" xfId="23" applyFont="1" applyFill="1" applyBorder="1">
      <alignment vertical="center"/>
    </xf>
    <xf numFmtId="4" fontId="19" fillId="0" borderId="10" xfId="57" applyFont="1" applyBorder="1">
      <alignment horizontal="right" vertical="center"/>
    </xf>
    <xf numFmtId="4" fontId="19" fillId="0" borderId="19" xfId="57" applyFont="1" applyBorder="1">
      <alignment horizontal="right" vertical="center"/>
    </xf>
    <xf numFmtId="4" fontId="19" fillId="45" borderId="19" xfId="23" applyFont="1" applyFill="1" applyBorder="1">
      <alignment vertical="center"/>
    </xf>
    <xf numFmtId="4" fontId="35" fillId="45" borderId="43" xfId="57" applyFont="1" applyFill="1" applyBorder="1">
      <alignment horizontal="right" vertical="center"/>
    </xf>
    <xf numFmtId="4" fontId="19" fillId="52" borderId="37" xfId="49" quotePrefix="1" applyNumberFormat="1" applyFont="1" applyFill="1" applyBorder="1" applyAlignment="1">
      <alignment horizontal="right" vertical="center" justifyLastLine="1"/>
    </xf>
    <xf numFmtId="4" fontId="19" fillId="52" borderId="37" xfId="23" applyFont="1" applyFill="1" applyBorder="1">
      <alignment vertical="center"/>
    </xf>
    <xf numFmtId="4" fontId="35" fillId="45" borderId="37" xfId="57" applyFont="1" applyFill="1" applyBorder="1">
      <alignment horizontal="right" vertical="center"/>
    </xf>
    <xf numFmtId="4" fontId="19" fillId="0" borderId="37" xfId="23" applyFont="1" applyFill="1" applyBorder="1">
      <alignment vertical="center"/>
    </xf>
    <xf numFmtId="4" fontId="19" fillId="0" borderId="37" xfId="57" applyFont="1" applyBorder="1">
      <alignment horizontal="right" vertical="center"/>
    </xf>
    <xf numFmtId="3" fontId="15" fillId="46" borderId="19" xfId="23" applyNumberFormat="1" applyFont="1" applyFill="1" applyBorder="1" applyAlignment="1">
      <alignment horizontal="center" vertical="center"/>
    </xf>
    <xf numFmtId="4" fontId="15" fillId="46" borderId="19" xfId="23" applyFont="1" applyFill="1" applyBorder="1" applyAlignment="1">
      <alignment horizontal="center" vertical="center"/>
    </xf>
    <xf numFmtId="165" fontId="16" fillId="48" borderId="50" xfId="45" quotePrefix="1" applyNumberFormat="1" applyFont="1" applyFill="1" applyBorder="1" applyAlignment="1">
      <alignment vertical="center" justifyLastLine="1"/>
    </xf>
    <xf numFmtId="0" fontId="16" fillId="48" borderId="50" xfId="45" quotePrefix="1" applyFont="1" applyFill="1" applyBorder="1" applyAlignment="1">
      <alignment vertical="center" justifyLastLine="1"/>
    </xf>
    <xf numFmtId="0" fontId="16" fillId="48" borderId="50" xfId="27" quotePrefix="1" applyNumberFormat="1" applyFont="1" applyFill="1" applyBorder="1" applyAlignment="1">
      <alignment horizontal="center" vertical="center" wrapText="1"/>
    </xf>
    <xf numFmtId="0" fontId="16" fillId="48" borderId="50" xfId="27" applyNumberFormat="1" applyFont="1" applyFill="1" applyBorder="1" applyAlignment="1">
      <alignment horizontal="center" vertical="center" wrapText="1"/>
    </xf>
    <xf numFmtId="0" fontId="36" fillId="48" borderId="50" xfId="27" quotePrefix="1" applyNumberFormat="1" applyFont="1" applyFill="1" applyBorder="1" applyAlignment="1">
      <alignment horizontal="center" vertical="center" wrapText="1"/>
    </xf>
    <xf numFmtId="165" fontId="16" fillId="48" borderId="50" xfId="45" applyNumberFormat="1" applyFont="1" applyFill="1" applyBorder="1" applyAlignment="1">
      <alignment vertical="center" justifyLastLine="1"/>
    </xf>
    <xf numFmtId="4" fontId="16" fillId="48" borderId="50" xfId="23" applyFont="1" applyFill="1" applyBorder="1">
      <alignment vertical="center"/>
    </xf>
    <xf numFmtId="4" fontId="16" fillId="46" borderId="50" xfId="23" applyFont="1" applyFill="1" applyBorder="1">
      <alignment vertical="center"/>
    </xf>
    <xf numFmtId="3" fontId="16" fillId="46" borderId="50" xfId="23" applyNumberFormat="1" applyFont="1" applyFill="1" applyBorder="1" applyAlignment="1">
      <alignment horizontal="center" vertical="center"/>
    </xf>
    <xf numFmtId="49" fontId="16" fillId="46" borderId="50" xfId="23" applyNumberFormat="1" applyFont="1" applyFill="1" applyBorder="1" applyAlignment="1">
      <alignment horizontal="center" vertical="center"/>
    </xf>
    <xf numFmtId="4" fontId="22" fillId="47" borderId="50" xfId="23" applyFont="1" applyFill="1" applyBorder="1">
      <alignment vertical="center"/>
    </xf>
    <xf numFmtId="49" fontId="22" fillId="47" borderId="50" xfId="23" applyNumberFormat="1" applyFont="1" applyFill="1" applyBorder="1" applyAlignment="1">
      <alignment horizontal="center" vertical="center"/>
    </xf>
    <xf numFmtId="4" fontId="18" fillId="48" borderId="50" xfId="23" applyFont="1" applyFill="1" applyBorder="1">
      <alignment vertical="center"/>
    </xf>
    <xf numFmtId="165" fontId="15" fillId="52" borderId="50" xfId="47" quotePrefix="1" applyNumberFormat="1" applyFont="1" applyFill="1" applyBorder="1" applyAlignment="1">
      <alignment horizontal="center" vertical="center" justifyLastLine="1"/>
    </xf>
    <xf numFmtId="0" fontId="15" fillId="52" borderId="50" xfId="47" quotePrefix="1" applyFont="1" applyFill="1" applyBorder="1">
      <alignment horizontal="left" vertical="center" indent="1" justifyLastLine="1"/>
    </xf>
    <xf numFmtId="49" fontId="15" fillId="52" borderId="50" xfId="23" applyNumberFormat="1" applyFont="1" applyFill="1" applyBorder="1" applyAlignment="1">
      <alignment horizontal="center" vertical="center"/>
    </xf>
    <xf numFmtId="4" fontId="15" fillId="52" borderId="50" xfId="23" applyFont="1" applyFill="1" applyBorder="1">
      <alignment vertical="center"/>
    </xf>
    <xf numFmtId="165" fontId="15" fillId="0" borderId="50" xfId="49" quotePrefix="1" applyNumberFormat="1" applyFont="1" applyFill="1" applyBorder="1" applyAlignment="1">
      <alignment horizontal="center" vertical="center" justifyLastLine="1"/>
    </xf>
    <xf numFmtId="0" fontId="15" fillId="0" borderId="50" xfId="49" quotePrefix="1" applyFont="1" applyFill="1" applyBorder="1">
      <alignment horizontal="left" vertical="center" indent="1" justifyLastLine="1"/>
    </xf>
    <xf numFmtId="49" fontId="15" fillId="0" borderId="50" xfId="23" applyNumberFormat="1" applyFont="1" applyFill="1" applyBorder="1" applyAlignment="1">
      <alignment horizontal="center" vertical="center"/>
    </xf>
    <xf numFmtId="4" fontId="15" fillId="0" borderId="50" xfId="23" applyFont="1" applyFill="1" applyBorder="1">
      <alignment vertical="center"/>
    </xf>
    <xf numFmtId="0" fontId="2" fillId="0" borderId="50" xfId="49" quotePrefix="1" applyFill="1" applyBorder="1" applyAlignment="1">
      <alignment horizontal="center" vertical="center" justifyLastLine="1"/>
    </xf>
    <xf numFmtId="0" fontId="2" fillId="0" borderId="50" xfId="49" quotePrefix="1" applyFill="1" applyBorder="1">
      <alignment horizontal="left" vertical="center" indent="1" justifyLastLine="1"/>
    </xf>
    <xf numFmtId="49" fontId="2" fillId="0" borderId="50" xfId="57" applyNumberFormat="1" applyBorder="1" applyAlignment="1">
      <alignment horizontal="center" vertical="center"/>
    </xf>
    <xf numFmtId="4" fontId="2" fillId="0" borderId="50" xfId="57" applyBorder="1">
      <alignment horizontal="right" vertical="center"/>
    </xf>
    <xf numFmtId="4" fontId="2" fillId="53" borderId="50" xfId="57" applyFill="1" applyBorder="1">
      <alignment horizontal="right" vertical="center"/>
    </xf>
    <xf numFmtId="0" fontId="2" fillId="45" borderId="50" xfId="49" quotePrefix="1" applyFill="1" applyBorder="1" applyAlignment="1">
      <alignment horizontal="center" vertical="center" justifyLastLine="1"/>
    </xf>
    <xf numFmtId="0" fontId="2" fillId="0" borderId="50" xfId="49" applyFill="1" applyBorder="1">
      <alignment horizontal="left" vertical="center" indent="1" justifyLastLine="1"/>
    </xf>
    <xf numFmtId="4" fontId="15" fillId="0" borderId="50" xfId="57" applyFont="1" applyBorder="1">
      <alignment horizontal="right" vertical="center"/>
    </xf>
    <xf numFmtId="0" fontId="15" fillId="0" borderId="50" xfId="49" quotePrefix="1" applyFont="1" applyFill="1" applyBorder="1" applyAlignment="1">
      <alignment horizontal="center" vertical="center" justifyLastLine="1"/>
    </xf>
    <xf numFmtId="49" fontId="15" fillId="0" borderId="50" xfId="57" applyNumberFormat="1" applyFont="1" applyBorder="1" applyAlignment="1">
      <alignment horizontal="center" vertical="center"/>
    </xf>
    <xf numFmtId="49" fontId="1" fillId="0" borderId="50" xfId="23" applyNumberFormat="1" applyFont="1" applyFill="1" applyBorder="1" applyAlignment="1">
      <alignment horizontal="center" vertical="center"/>
    </xf>
    <xf numFmtId="4" fontId="1" fillId="0" borderId="50" xfId="23" applyFont="1" applyFill="1" applyBorder="1">
      <alignment vertical="center"/>
    </xf>
    <xf numFmtId="165" fontId="1" fillId="0" borderId="50" xfId="49" quotePrefix="1" applyNumberFormat="1" applyFont="1" applyFill="1" applyBorder="1" applyAlignment="1">
      <alignment horizontal="center" vertical="center" justifyLastLine="1"/>
    </xf>
    <xf numFmtId="0" fontId="1" fillId="0" borderId="50" xfId="49" quotePrefix="1" applyFont="1" applyFill="1" applyBorder="1">
      <alignment horizontal="left" vertical="center" indent="1" justifyLastLine="1"/>
    </xf>
    <xf numFmtId="4" fontId="1" fillId="53" borderId="50" xfId="23" applyFont="1" applyFill="1" applyBorder="1">
      <alignment vertical="center"/>
    </xf>
    <xf numFmtId="0" fontId="1" fillId="0" borderId="50" xfId="49" quotePrefix="1" applyFont="1" applyFill="1" applyBorder="1" applyAlignment="1">
      <alignment horizontal="center" vertical="center" justifyLastLine="1"/>
    </xf>
    <xf numFmtId="49" fontId="1" fillId="0" borderId="50" xfId="57" applyNumberFormat="1" applyFont="1" applyBorder="1" applyAlignment="1">
      <alignment horizontal="center" vertical="center"/>
    </xf>
    <xf numFmtId="4" fontId="1" fillId="0" borderId="50" xfId="57" applyFont="1" applyBorder="1">
      <alignment horizontal="right" vertical="center"/>
    </xf>
    <xf numFmtId="0" fontId="15" fillId="0" borderId="50" xfId="49" applyFont="1" applyFill="1" applyBorder="1">
      <alignment horizontal="left" vertical="center" indent="1" justifyLastLine="1"/>
    </xf>
    <xf numFmtId="4" fontId="15" fillId="0" borderId="50" xfId="23" applyFont="1" applyFill="1" applyBorder="1" applyAlignment="1">
      <alignment horizontal="center" vertical="center"/>
    </xf>
    <xf numFmtId="4" fontId="1" fillId="0" borderId="50" xfId="23" applyFont="1" applyFill="1" applyBorder="1" applyAlignment="1">
      <alignment horizontal="center" vertical="center"/>
    </xf>
    <xf numFmtId="165" fontId="3" fillId="52" borderId="50" xfId="47" quotePrefix="1" applyNumberFormat="1" applyFont="1" applyFill="1" applyBorder="1" applyAlignment="1">
      <alignment horizontal="center" vertical="center" justifyLastLine="1"/>
    </xf>
    <xf numFmtId="0" fontId="3" fillId="52" borderId="50" xfId="47" quotePrefix="1" applyFont="1" applyFill="1" applyBorder="1">
      <alignment horizontal="left" vertical="center" indent="1" justifyLastLine="1"/>
    </xf>
    <xf numFmtId="0" fontId="15" fillId="52" borderId="50" xfId="47" applyFont="1" applyFill="1" applyBorder="1" applyAlignment="1">
      <alignment horizontal="left" vertical="center" indent="1"/>
    </xf>
    <xf numFmtId="4" fontId="3" fillId="0" borderId="50" xfId="57" applyFont="1" applyBorder="1">
      <alignment horizontal="right" vertical="center"/>
    </xf>
    <xf numFmtId="49" fontId="3" fillId="0" borderId="50" xfId="57" applyNumberFormat="1" applyFont="1" applyBorder="1">
      <alignment horizontal="right" vertical="center"/>
    </xf>
    <xf numFmtId="49" fontId="15" fillId="0" borderId="50" xfId="57" applyNumberFormat="1" applyFont="1" applyBorder="1">
      <alignment horizontal="right" vertical="center"/>
    </xf>
    <xf numFmtId="4" fontId="3" fillId="0" borderId="50" xfId="23" applyFont="1" applyFill="1" applyBorder="1">
      <alignment vertical="center"/>
    </xf>
    <xf numFmtId="4" fontId="35" fillId="0" borderId="50" xfId="57" applyFont="1" applyBorder="1">
      <alignment horizontal="right" vertical="center"/>
    </xf>
    <xf numFmtId="1" fontId="2" fillId="0" borderId="37" xfId="49" quotePrefix="1" applyNumberFormat="1" applyFill="1" applyBorder="1" applyAlignment="1">
      <alignment horizontal="center" vertical="center" justifyLastLine="1"/>
    </xf>
    <xf numFmtId="1" fontId="15" fillId="0" borderId="19" xfId="57" applyNumberFormat="1" applyFont="1" applyBorder="1" applyAlignment="1">
      <alignment horizontal="center" vertical="center"/>
    </xf>
    <xf numFmtId="3" fontId="2" fillId="0" borderId="37" xfId="49" quotePrefix="1" applyNumberFormat="1" applyFill="1" applyBorder="1" applyAlignment="1">
      <alignment horizontal="center" vertical="center" justifyLastLine="1"/>
    </xf>
    <xf numFmtId="3" fontId="15" fillId="0" borderId="19" xfId="57" applyNumberFormat="1" applyFont="1" applyBorder="1" applyAlignment="1">
      <alignment horizontal="center" vertical="center"/>
    </xf>
    <xf numFmtId="3" fontId="15" fillId="0" borderId="37" xfId="23" applyNumberFormat="1" applyFont="1" applyFill="1" applyBorder="1" applyAlignment="1">
      <alignment horizontal="center" vertical="center"/>
    </xf>
    <xf numFmtId="165" fontId="15" fillId="52" borderId="37" xfId="47" applyNumberFormat="1" applyFont="1" applyFill="1" applyBorder="1" applyAlignment="1">
      <alignment horizontal="center" vertical="center" justifyLastLine="1"/>
    </xf>
    <xf numFmtId="165" fontId="3" fillId="52" borderId="37" xfId="47" applyNumberFormat="1" applyFont="1" applyFill="1" applyBorder="1" applyAlignment="1">
      <alignment horizontal="center" vertical="center" justifyLastLine="1"/>
    </xf>
    <xf numFmtId="4" fontId="2" fillId="0" borderId="38" xfId="57" applyBorder="1">
      <alignment horizontal="right" vertical="center"/>
    </xf>
    <xf numFmtId="4" fontId="2" fillId="45" borderId="38" xfId="57" applyFill="1" applyBorder="1">
      <alignment horizontal="right" vertical="center"/>
    </xf>
    <xf numFmtId="4" fontId="2" fillId="45" borderId="10" xfId="57" applyFill="1" applyBorder="1">
      <alignment horizontal="right" vertical="center"/>
    </xf>
    <xf numFmtId="4" fontId="2" fillId="45" borderId="15" xfId="57" applyFill="1" applyBorder="1">
      <alignment horizontal="right" vertical="center"/>
    </xf>
    <xf numFmtId="4" fontId="2" fillId="45" borderId="40" xfId="57" applyFill="1" applyBorder="1">
      <alignment horizontal="right" vertical="center"/>
    </xf>
    <xf numFmtId="4" fontId="15" fillId="0" borderId="7" xfId="23" applyFont="1" applyFill="1" applyBorder="1">
      <alignment vertical="center"/>
    </xf>
    <xf numFmtId="4" fontId="15" fillId="0" borderId="1" xfId="57" applyFont="1">
      <alignment horizontal="right" vertical="center"/>
    </xf>
    <xf numFmtId="4" fontId="4" fillId="41" borderId="36" xfId="53" applyBorder="1">
      <alignment vertical="center"/>
    </xf>
    <xf numFmtId="4" fontId="4" fillId="41" borderId="36" xfId="53" applyBorder="1" applyAlignment="1">
      <alignment horizontal="right" vertical="center"/>
    </xf>
    <xf numFmtId="4" fontId="15" fillId="44" borderId="20" xfId="23" applyFont="1" applyFill="1" applyBorder="1">
      <alignment vertical="center"/>
    </xf>
    <xf numFmtId="4" fontId="15" fillId="44" borderId="20" xfId="23" applyFont="1" applyFill="1" applyBorder="1" applyAlignment="1">
      <alignment horizontal="right" vertical="center"/>
    </xf>
    <xf numFmtId="4" fontId="15" fillId="0" borderId="7" xfId="23" applyFont="1" applyFill="1" applyBorder="1" applyAlignment="1">
      <alignment horizontal="right" vertical="center"/>
    </xf>
    <xf numFmtId="4" fontId="15" fillId="45" borderId="1" xfId="23" applyFont="1" applyFill="1">
      <alignment vertical="center"/>
    </xf>
    <xf numFmtId="4" fontId="15" fillId="45" borderId="1" xfId="23" applyFont="1" applyFill="1" applyAlignment="1">
      <alignment horizontal="right" vertical="center"/>
    </xf>
    <xf numFmtId="4" fontId="15" fillId="0" borderId="1" xfId="23" applyFont="1" applyFill="1" applyAlignment="1">
      <alignment horizontal="center" vertical="center"/>
    </xf>
    <xf numFmtId="4" fontId="15" fillId="44" borderId="16" xfId="23" applyFont="1" applyFill="1" applyBorder="1">
      <alignment vertical="center"/>
    </xf>
    <xf numFmtId="4" fontId="15" fillId="0" borderId="16" xfId="23" applyFont="1" applyFill="1" applyBorder="1">
      <alignment vertical="center"/>
    </xf>
    <xf numFmtId="4" fontId="2" fillId="0" borderId="16" xfId="57" applyBorder="1">
      <alignment horizontal="right" vertical="center"/>
    </xf>
    <xf numFmtId="4" fontId="15" fillId="52" borderId="43" xfId="23" applyFont="1" applyFill="1" applyBorder="1">
      <alignment vertical="center"/>
    </xf>
    <xf numFmtId="4" fontId="15" fillId="0" borderId="43" xfId="23" applyFont="1" applyFill="1" applyBorder="1">
      <alignment vertical="center"/>
    </xf>
    <xf numFmtId="4" fontId="2" fillId="0" borderId="43" xfId="57" applyBorder="1">
      <alignment horizontal="right" vertical="center"/>
    </xf>
    <xf numFmtId="4" fontId="1" fillId="0" borderId="43" xfId="23" applyFont="1" applyFill="1" applyBorder="1">
      <alignment vertical="center"/>
    </xf>
    <xf numFmtId="4" fontId="2" fillId="45" borderId="43" xfId="57" applyFill="1" applyBorder="1">
      <alignment horizontal="right" vertical="center"/>
    </xf>
    <xf numFmtId="4" fontId="15" fillId="0" borderId="43" xfId="57" applyFont="1" applyBorder="1">
      <alignment horizontal="right" vertical="center"/>
    </xf>
    <xf numFmtId="1" fontId="16" fillId="48" borderId="48" xfId="27" quotePrefix="1" applyNumberFormat="1" applyFont="1" applyFill="1" applyBorder="1" applyAlignment="1">
      <alignment horizontal="center" vertical="center" wrapText="1"/>
    </xf>
    <xf numFmtId="1" fontId="16" fillId="46" borderId="43" xfId="23" applyNumberFormat="1" applyFont="1" applyFill="1" applyBorder="1" applyAlignment="1">
      <alignment horizontal="center" vertical="center"/>
    </xf>
    <xf numFmtId="1" fontId="22" fillId="47" borderId="43" xfId="23" applyNumberFormat="1" applyFont="1" applyFill="1" applyBorder="1" applyAlignment="1">
      <alignment horizontal="center" vertical="center"/>
    </xf>
    <xf numFmtId="1" fontId="2" fillId="0" borderId="43" xfId="57" applyNumberFormat="1" applyBorder="1" applyAlignment="1">
      <alignment horizontal="center" vertical="center"/>
    </xf>
    <xf numFmtId="1" fontId="2" fillId="45" borderId="43" xfId="57" applyNumberFormat="1" applyFill="1" applyBorder="1" applyAlignment="1">
      <alignment horizontal="center" vertical="center"/>
    </xf>
    <xf numFmtId="1" fontId="16" fillId="48" borderId="43" xfId="23" applyNumberFormat="1" applyFont="1" applyFill="1" applyBorder="1" applyAlignment="1">
      <alignment horizontal="center" vertical="center"/>
    </xf>
    <xf numFmtId="1" fontId="15" fillId="52" borderId="43" xfId="23" applyNumberFormat="1" applyFont="1" applyFill="1" applyBorder="1" applyAlignment="1">
      <alignment horizontal="center" vertical="center"/>
    </xf>
    <xf numFmtId="1" fontId="15" fillId="0" borderId="43" xfId="23" applyNumberFormat="1" applyFont="1" applyFill="1" applyBorder="1" applyAlignment="1">
      <alignment horizontal="center" vertical="center"/>
    </xf>
    <xf numFmtId="1" fontId="15" fillId="0" borderId="43" xfId="57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0" borderId="43" xfId="49" quotePrefix="1" applyFont="1" applyFill="1" applyBorder="1" applyAlignment="1">
      <alignment horizontal="center" vertical="center" justifyLastLine="1"/>
    </xf>
    <xf numFmtId="0" fontId="1" fillId="0" borderId="43" xfId="49" quotePrefix="1" applyFont="1" applyFill="1" applyBorder="1">
      <alignment horizontal="left" vertical="center" indent="1" justifyLastLine="1"/>
    </xf>
    <xf numFmtId="49" fontId="1" fillId="44" borderId="43" xfId="23" applyNumberFormat="1" applyFont="1" applyFill="1" applyBorder="1" applyAlignment="1">
      <alignment horizontal="center" vertical="center"/>
    </xf>
    <xf numFmtId="4" fontId="1" fillId="0" borderId="43" xfId="57" applyFont="1" applyBorder="1">
      <alignment horizontal="right" vertical="center"/>
    </xf>
    <xf numFmtId="1" fontId="1" fillId="0" borderId="43" xfId="57" applyNumberFormat="1" applyFont="1" applyBorder="1" applyAlignment="1">
      <alignment horizontal="center" vertical="center"/>
    </xf>
    <xf numFmtId="1" fontId="1" fillId="0" borderId="43" xfId="23" applyNumberFormat="1" applyFont="1" applyFill="1" applyBorder="1" applyAlignment="1">
      <alignment horizontal="center" vertical="center"/>
    </xf>
    <xf numFmtId="165" fontId="15" fillId="50" borderId="43" xfId="49" quotePrefix="1" applyNumberFormat="1" applyFont="1" applyFill="1" applyBorder="1" applyAlignment="1">
      <alignment horizontal="center" vertical="center" justifyLastLine="1"/>
    </xf>
    <xf numFmtId="0" fontId="15" fillId="50" borderId="43" xfId="49" applyFont="1" applyFill="1" applyBorder="1">
      <alignment horizontal="left" vertical="center" indent="1" justifyLastLine="1"/>
    </xf>
    <xf numFmtId="1" fontId="15" fillId="50" borderId="43" xfId="57" applyNumberFormat="1" applyFont="1" applyFill="1" applyBorder="1" applyAlignment="1">
      <alignment horizontal="center" vertical="center"/>
    </xf>
    <xf numFmtId="49" fontId="15" fillId="0" borderId="43" xfId="23" applyNumberFormat="1" applyFont="1" applyFill="1" applyBorder="1" applyAlignment="1">
      <alignment horizontal="center" vertical="center"/>
    </xf>
    <xf numFmtId="49" fontId="15" fillId="45" borderId="43" xfId="23" applyNumberFormat="1" applyFont="1" applyFill="1" applyBorder="1" applyAlignment="1">
      <alignment horizontal="center" vertical="center"/>
    </xf>
    <xf numFmtId="0" fontId="15" fillId="50" borderId="43" xfId="49" quotePrefix="1" applyFont="1" applyFill="1" applyBorder="1" applyAlignment="1">
      <alignment horizontal="center" vertical="center" justifyLastLine="1"/>
    </xf>
    <xf numFmtId="0" fontId="15" fillId="50" borderId="43" xfId="49" quotePrefix="1" applyFont="1" applyFill="1" applyBorder="1">
      <alignment horizontal="left" vertical="center" indent="1" justifyLastLine="1"/>
    </xf>
    <xf numFmtId="4" fontId="1" fillId="50" borderId="43" xfId="23" applyFont="1" applyFill="1" applyBorder="1">
      <alignment vertical="center"/>
    </xf>
    <xf numFmtId="0" fontId="15" fillId="0" borderId="52" xfId="49" quotePrefix="1" applyFont="1" applyFill="1" applyBorder="1">
      <alignment horizontal="left" vertical="center" indent="1" justifyLastLine="1"/>
    </xf>
    <xf numFmtId="49" fontId="15" fillId="0" borderId="53" xfId="23" applyNumberFormat="1" applyFont="1" applyFill="1" applyBorder="1" applyAlignment="1">
      <alignment horizontal="center" vertical="center"/>
    </xf>
    <xf numFmtId="4" fontId="15" fillId="0" borderId="53" xfId="57" applyFont="1" applyBorder="1">
      <alignment horizontal="right" vertical="center"/>
    </xf>
    <xf numFmtId="0" fontId="2" fillId="0" borderId="52" xfId="49" quotePrefix="1" applyFill="1" applyBorder="1" applyAlignment="1">
      <alignment horizontal="center" vertical="center" justifyLastLine="1"/>
    </xf>
    <xf numFmtId="0" fontId="2" fillId="0" borderId="53" xfId="49" quotePrefix="1" applyFill="1" applyBorder="1" applyAlignment="1">
      <alignment horizontal="center" vertical="center" justifyLastLine="1"/>
    </xf>
    <xf numFmtId="4" fontId="1" fillId="0" borderId="53" xfId="57" applyFont="1" applyBorder="1">
      <alignment horizontal="right" vertical="center"/>
    </xf>
    <xf numFmtId="4" fontId="35" fillId="0" borderId="53" xfId="57" applyFont="1" applyBorder="1">
      <alignment horizontal="right" vertical="center"/>
    </xf>
    <xf numFmtId="0" fontId="15" fillId="0" borderId="53" xfId="49" quotePrefix="1" applyFont="1" applyFill="1" applyBorder="1" applyAlignment="1">
      <alignment horizontal="center" vertical="center" justifyLastLine="1"/>
    </xf>
    <xf numFmtId="49" fontId="1" fillId="0" borderId="53" xfId="23" applyNumberFormat="1" applyFont="1" applyFill="1" applyBorder="1" applyAlignment="1">
      <alignment horizontal="center" vertical="center"/>
    </xf>
    <xf numFmtId="4" fontId="15" fillId="0" borderId="53" xfId="49" quotePrefix="1" applyNumberFormat="1" applyFont="1" applyFill="1" applyBorder="1" applyAlignment="1">
      <alignment horizontal="right" vertical="center" justifyLastLine="1"/>
    </xf>
    <xf numFmtId="4" fontId="15" fillId="0" borderId="53" xfId="23" applyFont="1" applyFill="1" applyBorder="1">
      <alignment vertical="center"/>
    </xf>
    <xf numFmtId="4" fontId="35" fillId="45" borderId="53" xfId="57" applyFont="1" applyFill="1" applyBorder="1">
      <alignment horizontal="right" vertical="center"/>
    </xf>
    <xf numFmtId="49" fontId="15" fillId="0" borderId="53" xfId="57" applyNumberFormat="1" applyFont="1" applyBorder="1" applyAlignment="1">
      <alignment horizontal="center" vertical="center"/>
    </xf>
    <xf numFmtId="4" fontId="2" fillId="0" borderId="37" xfId="49" quotePrefix="1" applyNumberFormat="1" applyFill="1" applyBorder="1" applyAlignment="1">
      <alignment horizontal="right" vertical="center" justifyLastLine="1"/>
    </xf>
    <xf numFmtId="4" fontId="2" fillId="0" borderId="53" xfId="49" quotePrefix="1" applyNumberFormat="1" applyFill="1" applyBorder="1" applyAlignment="1">
      <alignment horizontal="right" vertical="center" justifyLastLine="1"/>
    </xf>
    <xf numFmtId="4" fontId="35" fillId="0" borderId="37" xfId="49" quotePrefix="1" applyNumberFormat="1" applyFont="1" applyFill="1" applyBorder="1" applyAlignment="1">
      <alignment horizontal="right" vertical="center" justifyLastLine="1"/>
    </xf>
    <xf numFmtId="4" fontId="1" fillId="0" borderId="37" xfId="57" applyFont="1" applyBorder="1">
      <alignment horizontal="right" vertical="center"/>
    </xf>
    <xf numFmtId="0" fontId="2" fillId="0" borderId="53" xfId="49" quotePrefix="1" applyFill="1" applyBorder="1">
      <alignment horizontal="left" vertical="center" indent="1" justifyLastLine="1"/>
    </xf>
    <xf numFmtId="49" fontId="2" fillId="0" borderId="53" xfId="57" applyNumberFormat="1" applyBorder="1" applyAlignment="1">
      <alignment horizontal="center" vertical="center"/>
    </xf>
    <xf numFmtId="4" fontId="2" fillId="0" borderId="53" xfId="57" applyBorder="1">
      <alignment horizontal="right" vertical="center"/>
    </xf>
    <xf numFmtId="0" fontId="15" fillId="0" borderId="53" xfId="49" quotePrefix="1" applyFont="1" applyFill="1" applyBorder="1">
      <alignment horizontal="left" vertical="center" indent="1" justifyLastLine="1"/>
    </xf>
    <xf numFmtId="0" fontId="1" fillId="0" borderId="53" xfId="49" quotePrefix="1" applyFont="1" applyFill="1" applyBorder="1">
      <alignment horizontal="left" vertical="center" indent="1" justifyLastLine="1"/>
    </xf>
    <xf numFmtId="0" fontId="1" fillId="0" borderId="53" xfId="49" quotePrefix="1" applyFont="1" applyFill="1" applyBorder="1" applyAlignment="1">
      <alignment horizontal="center" vertical="center" justifyLastLine="1"/>
    </xf>
    <xf numFmtId="4" fontId="1" fillId="0" borderId="53" xfId="23" applyFont="1" applyFill="1" applyBorder="1">
      <alignment vertical="center"/>
    </xf>
    <xf numFmtId="4" fontId="35" fillId="0" borderId="53" xfId="23" applyFont="1" applyFill="1" applyBorder="1">
      <alignment vertical="center"/>
    </xf>
    <xf numFmtId="49" fontId="1" fillId="0" borderId="53" xfId="57" applyNumberFormat="1" applyFont="1" applyBorder="1" applyAlignment="1">
      <alignment horizontal="center" vertical="center"/>
    </xf>
    <xf numFmtId="0" fontId="1" fillId="0" borderId="53" xfId="47" quotePrefix="1" applyFont="1" applyFill="1" applyBorder="1">
      <alignment horizontal="left" vertical="center" indent="1" justifyLastLine="1"/>
    </xf>
    <xf numFmtId="165" fontId="15" fillId="0" borderId="1" xfId="47" quotePrefix="1" applyNumberFormat="1" applyFont="1" applyFill="1" applyAlignment="1">
      <alignment horizontal="center" vertical="center" justifyLastLine="1"/>
    </xf>
    <xf numFmtId="0" fontId="15" fillId="0" borderId="1" xfId="47" quotePrefix="1" applyFont="1" applyFill="1">
      <alignment horizontal="left" vertical="center" indent="1" justifyLastLine="1"/>
    </xf>
    <xf numFmtId="0" fontId="1" fillId="0" borderId="1" xfId="47" quotePrefix="1" applyFont="1" applyFill="1" applyAlignment="1">
      <alignment horizontal="center" vertical="center" justifyLastLine="1"/>
    </xf>
    <xf numFmtId="49" fontId="1" fillId="0" borderId="1" xfId="23" applyNumberFormat="1" applyFont="1" applyFill="1" applyAlignment="1">
      <alignment horizontal="center" vertical="center"/>
    </xf>
    <xf numFmtId="4" fontId="1" fillId="0" borderId="1" xfId="23" applyFont="1" applyFill="1" applyAlignment="1">
      <alignment horizontal="right" vertical="center"/>
    </xf>
    <xf numFmtId="4" fontId="1" fillId="0" borderId="1" xfId="23" applyFont="1" applyFill="1">
      <alignment vertical="center"/>
    </xf>
    <xf numFmtId="0" fontId="1" fillId="0" borderId="1" xfId="47" quotePrefix="1" applyFont="1" applyFill="1">
      <alignment horizontal="left" vertical="center" indent="1" justifyLastLine="1"/>
    </xf>
    <xf numFmtId="0" fontId="1" fillId="45" borderId="53" xfId="49" quotePrefix="1" applyFont="1" applyFill="1" applyBorder="1" applyAlignment="1">
      <alignment horizontal="center" vertical="center" justifyLastLine="1"/>
    </xf>
    <xf numFmtId="49" fontId="1" fillId="45" borderId="53" xfId="57" applyNumberFormat="1" applyFont="1" applyFill="1" applyBorder="1" applyAlignment="1">
      <alignment horizontal="center" vertical="center"/>
    </xf>
    <xf numFmtId="4" fontId="1" fillId="45" borderId="53" xfId="57" applyFont="1" applyFill="1" applyBorder="1">
      <alignment horizontal="right" vertical="center"/>
    </xf>
    <xf numFmtId="0" fontId="3" fillId="0" borderId="53" xfId="47" quotePrefix="1" applyFont="1" applyFill="1" applyBorder="1">
      <alignment horizontal="left" vertical="center" indent="1" justifyLastLine="1"/>
    </xf>
    <xf numFmtId="165" fontId="3" fillId="0" borderId="53" xfId="47" applyNumberFormat="1" applyFont="1" applyFill="1" applyBorder="1" applyAlignment="1">
      <alignment horizontal="center" vertical="center" justifyLastLine="1"/>
    </xf>
    <xf numFmtId="0" fontId="1" fillId="0" borderId="53" xfId="47" applyFont="1" applyFill="1" applyBorder="1" applyAlignment="1">
      <alignment horizontal="center" vertical="center" justifyLastLine="1"/>
    </xf>
    <xf numFmtId="0" fontId="1" fillId="45" borderId="53" xfId="49" quotePrefix="1" applyFont="1" applyFill="1" applyBorder="1">
      <alignment horizontal="left" vertical="center" indent="1" justifyLastLine="1"/>
    </xf>
    <xf numFmtId="4" fontId="1" fillId="50" borderId="53" xfId="57" applyFont="1" applyFill="1" applyBorder="1">
      <alignment horizontal="right" vertical="center"/>
    </xf>
    <xf numFmtId="3" fontId="1" fillId="50" borderId="53" xfId="57" applyNumberFormat="1" applyFont="1" applyFill="1" applyBorder="1" applyAlignment="1">
      <alignment horizontal="center" vertical="center"/>
    </xf>
    <xf numFmtId="0" fontId="1" fillId="0" borderId="50" xfId="49" applyFont="1" applyFill="1" applyBorder="1" applyAlignment="1">
      <alignment horizontal="left" vertical="center" wrapText="1" justifyLastLine="1"/>
    </xf>
    <xf numFmtId="165" fontId="15" fillId="0" borderId="52" xfId="47" quotePrefix="1" applyNumberFormat="1" applyFont="1" applyFill="1" applyBorder="1" applyAlignment="1">
      <alignment horizontal="center" vertical="center" justifyLastLine="1"/>
    </xf>
    <xf numFmtId="0" fontId="15" fillId="0" borderId="52" xfId="47" quotePrefix="1" applyFont="1" applyFill="1" applyBorder="1">
      <alignment horizontal="left" vertical="center" indent="1" justifyLastLine="1"/>
    </xf>
    <xf numFmtId="49" fontId="15" fillId="0" borderId="52" xfId="23" applyNumberFormat="1" applyFont="1" applyFill="1" applyBorder="1" applyAlignment="1">
      <alignment horizontal="center" vertical="center"/>
    </xf>
    <xf numFmtId="4" fontId="15" fillId="0" borderId="52" xfId="23" applyFont="1" applyFill="1" applyBorder="1">
      <alignment vertical="center"/>
    </xf>
    <xf numFmtId="4" fontId="18" fillId="48" borderId="7" xfId="23" applyFont="1" applyFill="1" applyBorder="1">
      <alignment vertical="center"/>
    </xf>
    <xf numFmtId="0" fontId="1" fillId="0" borderId="50" xfId="47" quotePrefix="1" applyFont="1" applyFill="1" applyBorder="1" applyAlignment="1">
      <alignment horizontal="center" vertical="center" justifyLastLine="1"/>
    </xf>
    <xf numFmtId="0" fontId="1" fillId="0" borderId="50" xfId="47" quotePrefix="1" applyFont="1" applyFill="1" applyBorder="1">
      <alignment horizontal="left" vertical="center" indent="1" justifyLastLine="1"/>
    </xf>
    <xf numFmtId="4" fontId="19" fillId="0" borderId="50" xfId="23" applyFont="1" applyFill="1" applyBorder="1">
      <alignment vertical="center"/>
    </xf>
    <xf numFmtId="0" fontId="1" fillId="0" borderId="50" xfId="49" quotePrefix="1" applyFont="1" applyFill="1" applyBorder="1" applyAlignment="1">
      <alignment horizontal="center" vertical="center" wrapText="1" justifyLastLine="1"/>
    </xf>
    <xf numFmtId="4" fontId="35" fillId="45" borderId="52" xfId="57" applyFont="1" applyFill="1" applyBorder="1">
      <alignment horizontal="right" vertical="center"/>
    </xf>
    <xf numFmtId="4" fontId="35" fillId="45" borderId="7" xfId="57" applyFont="1" applyFill="1" applyBorder="1">
      <alignment horizontal="right" vertical="center"/>
    </xf>
    <xf numFmtId="9" fontId="0" fillId="0" borderId="0" xfId="0" applyNumberFormat="1"/>
    <xf numFmtId="0" fontId="27" fillId="0" borderId="50" xfId="49" quotePrefix="1" applyFont="1" applyFill="1" applyBorder="1" applyAlignment="1">
      <alignment horizontal="center" vertical="center" justifyLastLine="1"/>
    </xf>
    <xf numFmtId="0" fontId="27" fillId="0" borderId="50" xfId="49" quotePrefix="1" applyFont="1" applyFill="1" applyBorder="1">
      <alignment horizontal="left" vertical="center" indent="1" justifyLastLine="1"/>
    </xf>
    <xf numFmtId="164" fontId="46" fillId="0" borderId="0" xfId="65" applyFont="1"/>
    <xf numFmtId="0" fontId="34" fillId="0" borderId="50" xfId="49" quotePrefix="1" applyFont="1" applyFill="1" applyBorder="1" applyAlignment="1">
      <alignment horizontal="center" vertical="center" justifyLastLine="1"/>
    </xf>
    <xf numFmtId="4" fontId="15" fillId="0" borderId="50" xfId="57" applyFont="1" applyBorder="1" applyAlignment="1">
      <alignment horizontal="center" vertical="center"/>
    </xf>
    <xf numFmtId="0" fontId="34" fillId="0" borderId="50" xfId="49" quotePrefix="1" applyFont="1" applyFill="1" applyBorder="1">
      <alignment horizontal="left" vertical="center" indent="1" justifyLastLine="1"/>
    </xf>
    <xf numFmtId="3" fontId="42" fillId="0" borderId="0" xfId="0" applyNumberFormat="1" applyFont="1"/>
    <xf numFmtId="49" fontId="21" fillId="0" borderId="0" xfId="0" applyNumberFormat="1" applyFont="1" applyAlignment="1">
      <alignment horizontal="right" vertical="center"/>
    </xf>
    <xf numFmtId="4" fontId="1" fillId="50" borderId="50" xfId="57" applyFont="1" applyFill="1" applyBorder="1">
      <alignment horizontal="right" vertical="center"/>
    </xf>
    <xf numFmtId="0" fontId="35" fillId="0" borderId="50" xfId="0" applyFont="1" applyBorder="1"/>
    <xf numFmtId="4" fontId="1" fillId="0" borderId="50" xfId="0" applyNumberFormat="1" applyFont="1" applyBorder="1"/>
    <xf numFmtId="4" fontId="35" fillId="0" borderId="50" xfId="0" applyNumberFormat="1" applyFont="1" applyBorder="1"/>
    <xf numFmtId="165" fontId="15" fillId="0" borderId="52" xfId="49" quotePrefix="1" applyNumberFormat="1" applyFont="1" applyFill="1" applyBorder="1" applyAlignment="1">
      <alignment horizontal="center" vertical="center" justifyLastLine="1"/>
    </xf>
    <xf numFmtId="3" fontId="15" fillId="0" borderId="52" xfId="23" applyNumberFormat="1" applyFont="1" applyFill="1" applyBorder="1" applyAlignment="1">
      <alignment horizontal="center" vertical="center"/>
    </xf>
    <xf numFmtId="4" fontId="19" fillId="0" borderId="52" xfId="23" applyFont="1" applyFill="1" applyBorder="1">
      <alignment vertical="center"/>
    </xf>
    <xf numFmtId="0" fontId="27" fillId="0" borderId="57" xfId="49" quotePrefix="1" applyFont="1" applyFill="1" applyBorder="1" applyAlignment="1">
      <alignment horizontal="center" vertical="center" justifyLastLine="1"/>
    </xf>
    <xf numFmtId="0" fontId="2" fillId="0" borderId="58" xfId="49" quotePrefix="1" applyFill="1" applyBorder="1">
      <alignment horizontal="left" vertical="center" indent="1" justifyLastLine="1"/>
    </xf>
    <xf numFmtId="49" fontId="2" fillId="0" borderId="58" xfId="57" applyNumberFormat="1" applyBorder="1" applyAlignment="1">
      <alignment horizontal="center" vertical="center"/>
    </xf>
    <xf numFmtId="3" fontId="2" fillId="0" borderId="58" xfId="57" applyNumberFormat="1" applyBorder="1" applyAlignment="1">
      <alignment horizontal="center" vertical="center"/>
    </xf>
    <xf numFmtId="4" fontId="27" fillId="0" borderId="58" xfId="57" applyFont="1" applyBorder="1">
      <alignment horizontal="right" vertical="center"/>
    </xf>
    <xf numFmtId="4" fontId="19" fillId="52" borderId="37" xfId="23" applyFont="1" applyFill="1" applyBorder="1" applyAlignment="1">
      <alignment horizontal="center" vertical="center"/>
    </xf>
    <xf numFmtId="4" fontId="19" fillId="52" borderId="37" xfId="23" applyFont="1" applyFill="1" applyBorder="1" applyAlignment="1">
      <alignment horizontal="left" vertical="center"/>
    </xf>
    <xf numFmtId="0" fontId="15" fillId="45" borderId="53" xfId="49" quotePrefix="1" applyFont="1" applyFill="1" applyBorder="1" applyAlignment="1">
      <alignment horizontal="center" vertical="center" justifyLastLine="1"/>
    </xf>
    <xf numFmtId="0" fontId="15" fillId="45" borderId="53" xfId="49" quotePrefix="1" applyFont="1" applyFill="1" applyBorder="1">
      <alignment horizontal="left" vertical="center" indent="1" justifyLastLine="1"/>
    </xf>
    <xf numFmtId="49" fontId="15" fillId="45" borderId="53" xfId="57" applyNumberFormat="1" applyFont="1" applyFill="1" applyBorder="1" applyAlignment="1">
      <alignment horizontal="center" vertical="center"/>
    </xf>
    <xf numFmtId="4" fontId="15" fillId="45" borderId="53" xfId="57" applyFont="1" applyFill="1" applyBorder="1">
      <alignment horizontal="right" vertical="center"/>
    </xf>
    <xf numFmtId="4" fontId="34" fillId="0" borderId="0" xfId="0" applyNumberFormat="1" applyFont="1"/>
    <xf numFmtId="4" fontId="35" fillId="50" borderId="53" xfId="57" applyFont="1" applyFill="1" applyBorder="1">
      <alignment horizontal="right" vertical="center"/>
    </xf>
    <xf numFmtId="0" fontId="2" fillId="50" borderId="37" xfId="49" quotePrefix="1" applyFill="1" applyBorder="1" applyAlignment="1">
      <alignment horizontal="center" vertical="center" justifyLastLine="1"/>
    </xf>
    <xf numFmtId="0" fontId="2" fillId="50" borderId="37" xfId="49" applyFill="1" applyBorder="1">
      <alignment horizontal="left" vertical="center" indent="1" justifyLastLine="1"/>
    </xf>
    <xf numFmtId="0" fontId="2" fillId="0" borderId="37" xfId="49" applyFill="1" applyBorder="1">
      <alignment horizontal="left" vertical="center" indent="1" justifyLastLine="1"/>
    </xf>
    <xf numFmtId="165" fontId="1" fillId="0" borderId="52" xfId="47" applyNumberFormat="1" applyFont="1" applyFill="1" applyBorder="1" applyAlignment="1">
      <alignment horizontal="center" vertical="center" justifyLastLine="1"/>
    </xf>
    <xf numFmtId="0" fontId="1" fillId="0" borderId="52" xfId="47" applyFont="1" applyFill="1" applyBorder="1">
      <alignment horizontal="left" vertical="center" indent="1" justifyLastLine="1"/>
    </xf>
    <xf numFmtId="49" fontId="1" fillId="0" borderId="52" xfId="23" applyNumberFormat="1" applyFont="1" applyFill="1" applyBorder="1" applyAlignment="1">
      <alignment horizontal="center" vertical="center"/>
    </xf>
    <xf numFmtId="4" fontId="1" fillId="0" borderId="52" xfId="23" applyFont="1" applyFill="1" applyBorder="1">
      <alignment vertical="center"/>
    </xf>
    <xf numFmtId="0" fontId="15" fillId="0" borderId="37" xfId="49" applyFont="1" applyFill="1" applyBorder="1">
      <alignment horizontal="left" vertical="center" indent="1" justifyLastLine="1"/>
    </xf>
    <xf numFmtId="3" fontId="15" fillId="46" borderId="53" xfId="23" applyNumberFormat="1" applyFont="1" applyFill="1" applyBorder="1" applyAlignment="1">
      <alignment horizontal="center" vertical="center"/>
    </xf>
    <xf numFmtId="4" fontId="15" fillId="46" borderId="53" xfId="23" applyFont="1" applyFill="1" applyBorder="1">
      <alignment vertical="center"/>
    </xf>
    <xf numFmtId="1" fontId="2" fillId="0" borderId="53" xfId="49" quotePrefix="1" applyNumberFormat="1" applyFill="1" applyBorder="1" applyAlignment="1">
      <alignment horizontal="center" vertical="center" justifyLastLine="1"/>
    </xf>
    <xf numFmtId="0" fontId="1" fillId="0" borderId="53" xfId="49" applyFont="1" applyFill="1" applyBorder="1">
      <alignment horizontal="left" vertical="center" indent="1" justifyLastLine="1"/>
    </xf>
    <xf numFmtId="3" fontId="2" fillId="0" borderId="53" xfId="49" quotePrefix="1" applyNumberFormat="1" applyFill="1" applyBorder="1" applyAlignment="1">
      <alignment horizontal="center" vertical="center" justifyLastLine="1"/>
    </xf>
    <xf numFmtId="0" fontId="2" fillId="0" borderId="53" xfId="49" applyFill="1" applyBorder="1">
      <alignment horizontal="left" vertical="center" indent="1" justifyLastLine="1"/>
    </xf>
    <xf numFmtId="4" fontId="17" fillId="0" borderId="0" xfId="0" applyNumberFormat="1" applyFont="1"/>
    <xf numFmtId="0" fontId="1" fillId="45" borderId="53" xfId="49" applyFont="1" applyFill="1" applyBorder="1">
      <alignment horizontal="left" vertical="center" indent="1" justifyLastLine="1"/>
    </xf>
    <xf numFmtId="0" fontId="15" fillId="45" borderId="53" xfId="49" applyFont="1" applyFill="1" applyBorder="1">
      <alignment horizontal="left" vertical="center" indent="1" justifyLastLine="1"/>
    </xf>
    <xf numFmtId="0" fontId="2" fillId="45" borderId="37" xfId="49" applyFill="1" applyBorder="1">
      <alignment horizontal="left" vertical="center" indent="1" justifyLastLine="1"/>
    </xf>
    <xf numFmtId="0" fontId="1" fillId="47" borderId="19" xfId="49" quotePrefix="1" applyFont="1" applyFill="1" applyBorder="1" applyAlignment="1">
      <alignment horizontal="center" vertical="center" justifyLastLine="1"/>
    </xf>
    <xf numFmtId="0" fontId="1" fillId="47" borderId="19" xfId="49" quotePrefix="1" applyFont="1" applyFill="1" applyBorder="1">
      <alignment horizontal="left" vertical="center" indent="1" justifyLastLine="1"/>
    </xf>
    <xf numFmtId="49" fontId="1" fillId="47" borderId="19" xfId="57" applyNumberFormat="1" applyFont="1" applyFill="1" applyBorder="1" applyAlignment="1">
      <alignment horizontal="center" vertical="center"/>
    </xf>
    <xf numFmtId="4" fontId="1" fillId="47" borderId="19" xfId="57" applyFont="1" applyFill="1" applyBorder="1">
      <alignment horizontal="right" vertical="center"/>
    </xf>
    <xf numFmtId="4" fontId="35" fillId="47" borderId="19" xfId="57" applyFont="1" applyFill="1" applyBorder="1">
      <alignment horizontal="right" vertical="center"/>
    </xf>
    <xf numFmtId="4" fontId="22" fillId="46" borderId="53" xfId="23" applyFont="1" applyFill="1" applyBorder="1">
      <alignment vertical="center"/>
    </xf>
    <xf numFmtId="49" fontId="22" fillId="46" borderId="53" xfId="23" applyNumberFormat="1" applyFont="1" applyFill="1" applyBorder="1" applyAlignment="1">
      <alignment horizontal="center" vertical="center"/>
    </xf>
    <xf numFmtId="4" fontId="22" fillId="46" borderId="53" xfId="23" applyFont="1" applyFill="1" applyBorder="1" applyAlignment="1">
      <alignment horizontal="right" vertical="center"/>
    </xf>
    <xf numFmtId="49" fontId="47" fillId="46" borderId="50" xfId="23" applyNumberFormat="1" applyFont="1" applyFill="1" applyBorder="1" applyAlignment="1">
      <alignment horizontal="center" vertical="center"/>
    </xf>
    <xf numFmtId="4" fontId="47" fillId="46" borderId="50" xfId="23" applyFont="1" applyFill="1" applyBorder="1">
      <alignment vertical="center"/>
    </xf>
    <xf numFmtId="4" fontId="15" fillId="0" borderId="59" xfId="23" applyFont="1" applyFill="1" applyBorder="1">
      <alignment vertical="center"/>
    </xf>
    <xf numFmtId="4" fontId="1" fillId="0" borderId="59" xfId="23" applyFont="1" applyFill="1" applyBorder="1">
      <alignment vertical="center"/>
    </xf>
    <xf numFmtId="3" fontId="42" fillId="0" borderId="35" xfId="0" applyNumberFormat="1" applyFont="1" applyBorder="1" applyAlignment="1">
      <alignment vertical="center"/>
    </xf>
    <xf numFmtId="3" fontId="42" fillId="0" borderId="22" xfId="0" applyNumberFormat="1" applyFont="1" applyBorder="1" applyAlignment="1">
      <alignment vertical="center"/>
    </xf>
    <xf numFmtId="0" fontId="2" fillId="45" borderId="50" xfId="49" quotePrefix="1" applyFill="1" applyBorder="1">
      <alignment horizontal="left" vertical="center" indent="1" justifyLastLine="1"/>
    </xf>
    <xf numFmtId="49" fontId="1" fillId="45" borderId="50" xfId="23" applyNumberFormat="1" applyFont="1" applyFill="1" applyBorder="1" applyAlignment="1">
      <alignment horizontal="center" vertical="center"/>
    </xf>
    <xf numFmtId="4" fontId="2" fillId="45" borderId="50" xfId="57" applyFill="1" applyBorder="1">
      <alignment horizontal="right" vertical="center"/>
    </xf>
    <xf numFmtId="49" fontId="2" fillId="45" borderId="50" xfId="57" applyNumberFormat="1" applyFill="1" applyBorder="1" applyAlignment="1">
      <alignment horizontal="center" vertical="center"/>
    </xf>
    <xf numFmtId="4" fontId="1" fillId="45" borderId="50" xfId="57" applyFont="1" applyFill="1" applyBorder="1">
      <alignment horizontal="right" vertical="center"/>
    </xf>
    <xf numFmtId="4" fontId="34" fillId="45" borderId="19" xfId="57" applyFont="1" applyFill="1" applyBorder="1">
      <alignment horizontal="right" vertical="center"/>
    </xf>
    <xf numFmtId="0" fontId="15" fillId="45" borderId="53" xfId="49" quotePrefix="1" applyFont="1" applyFill="1" applyBorder="1" applyAlignment="1">
      <alignment horizontal="left" vertical="center" justifyLastLine="1"/>
    </xf>
    <xf numFmtId="49" fontId="1" fillId="50" borderId="53" xfId="57" applyNumberFormat="1" applyFont="1" applyFill="1" applyBorder="1" applyAlignment="1">
      <alignment horizontal="center" vertical="center"/>
    </xf>
    <xf numFmtId="3" fontId="33" fillId="46" borderId="53" xfId="23" applyNumberFormat="1" applyFont="1" applyFill="1" applyBorder="1" applyAlignment="1">
      <alignment horizontal="center" vertical="center"/>
    </xf>
    <xf numFmtId="4" fontId="33" fillId="46" borderId="53" xfId="23" applyFont="1" applyFill="1" applyBorder="1">
      <alignment vertical="center"/>
    </xf>
    <xf numFmtId="0" fontId="34" fillId="0" borderId="1" xfId="49" quotePrefix="1" applyFont="1" applyFill="1">
      <alignment horizontal="left" vertical="center" indent="1" justifyLastLine="1"/>
    </xf>
    <xf numFmtId="4" fontId="34" fillId="50" borderId="53" xfId="57" applyFont="1" applyFill="1" applyBorder="1">
      <alignment horizontal="right" vertical="center"/>
    </xf>
    <xf numFmtId="49" fontId="15" fillId="50" borderId="53" xfId="57" applyNumberFormat="1" applyFont="1" applyFill="1" applyBorder="1" applyAlignment="1">
      <alignment horizontal="center" vertical="center"/>
    </xf>
    <xf numFmtId="4" fontId="15" fillId="50" borderId="53" xfId="57" applyFont="1" applyFill="1" applyBorder="1">
      <alignment horizontal="right" vertical="center"/>
    </xf>
    <xf numFmtId="4" fontId="15" fillId="52" borderId="37" xfId="23" applyFont="1" applyFill="1" applyBorder="1" applyAlignment="1">
      <alignment horizontal="center" vertical="center"/>
    </xf>
    <xf numFmtId="4" fontId="34" fillId="0" borderId="50" xfId="57" applyFont="1" applyBorder="1">
      <alignment horizontal="right" vertical="center"/>
    </xf>
    <xf numFmtId="4" fontId="44" fillId="0" borderId="0" xfId="0" applyNumberFormat="1" applyFont="1"/>
    <xf numFmtId="0" fontId="0" fillId="0" borderId="60" xfId="0" applyBorder="1"/>
    <xf numFmtId="164" fontId="0" fillId="0" borderId="48" xfId="65" applyFont="1" applyBorder="1" applyAlignment="1">
      <alignment horizontal="right"/>
    </xf>
    <xf numFmtId="0" fontId="0" fillId="0" borderId="62" xfId="0" applyBorder="1"/>
    <xf numFmtId="0" fontId="0" fillId="0" borderId="67" xfId="0" applyBorder="1"/>
    <xf numFmtId="164" fontId="0" fillId="0" borderId="66" xfId="65" applyFont="1" applyBorder="1" applyAlignment="1">
      <alignment horizontal="right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0" xfId="0" applyAlignment="1">
      <alignment wrapText="1"/>
    </xf>
    <xf numFmtId="0" fontId="0" fillId="0" borderId="73" xfId="0" applyBorder="1" applyAlignment="1">
      <alignment wrapText="1"/>
    </xf>
    <xf numFmtId="0" fontId="0" fillId="0" borderId="71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2" xfId="0" applyBorder="1"/>
    <xf numFmtId="0" fontId="0" fillId="0" borderId="74" xfId="0" applyBorder="1"/>
    <xf numFmtId="0" fontId="0" fillId="0" borderId="30" xfId="0" applyBorder="1"/>
    <xf numFmtId="164" fontId="0" fillId="0" borderId="17" xfId="65" applyFont="1" applyBorder="1" applyAlignment="1">
      <alignment horizontal="right"/>
    </xf>
    <xf numFmtId="164" fontId="0" fillId="0" borderId="75" xfId="65" applyFont="1" applyBorder="1" applyAlignment="1">
      <alignment horizontal="right"/>
    </xf>
    <xf numFmtId="0" fontId="0" fillId="0" borderId="63" xfId="0" applyBorder="1"/>
    <xf numFmtId="0" fontId="0" fillId="0" borderId="76" xfId="0" applyBorder="1"/>
    <xf numFmtId="0" fontId="0" fillId="0" borderId="73" xfId="0" applyBorder="1"/>
    <xf numFmtId="0" fontId="0" fillId="0" borderId="78" xfId="0" applyBorder="1"/>
    <xf numFmtId="164" fontId="0" fillId="0" borderId="20" xfId="65" applyFont="1" applyBorder="1"/>
    <xf numFmtId="164" fontId="0" fillId="0" borderId="77" xfId="65" applyFont="1" applyBorder="1"/>
    <xf numFmtId="164" fontId="0" fillId="0" borderId="17" xfId="65" applyFont="1" applyBorder="1"/>
    <xf numFmtId="164" fontId="0" fillId="0" borderId="75" xfId="65" applyFont="1" applyBorder="1"/>
    <xf numFmtId="164" fontId="0" fillId="0" borderId="64" xfId="65" applyFont="1" applyBorder="1"/>
    <xf numFmtId="164" fontId="0" fillId="0" borderId="65" xfId="65" applyFont="1" applyBorder="1"/>
    <xf numFmtId="0" fontId="0" fillId="55" borderId="81" xfId="0" applyFill="1" applyBorder="1"/>
    <xf numFmtId="164" fontId="48" fillId="55" borderId="82" xfId="65" applyFont="1" applyFill="1" applyBorder="1"/>
    <xf numFmtId="164" fontId="48" fillId="55" borderId="83" xfId="65" applyFont="1" applyFill="1" applyBorder="1"/>
    <xf numFmtId="0" fontId="48" fillId="55" borderId="69" xfId="0" applyFont="1" applyFill="1" applyBorder="1"/>
    <xf numFmtId="0" fontId="48" fillId="55" borderId="71" xfId="0" applyFont="1" applyFill="1" applyBorder="1" applyAlignment="1">
      <alignment wrapText="1"/>
    </xf>
    <xf numFmtId="0" fontId="48" fillId="55" borderId="84" xfId="0" applyFont="1" applyFill="1" applyBorder="1"/>
    <xf numFmtId="0" fontId="48" fillId="55" borderId="85" xfId="0" applyFont="1" applyFill="1" applyBorder="1" applyAlignment="1">
      <alignment wrapText="1"/>
    </xf>
    <xf numFmtId="0" fontId="0" fillId="0" borderId="87" xfId="0" applyBorder="1"/>
    <xf numFmtId="164" fontId="0" fillId="0" borderId="88" xfId="65" applyFont="1" applyBorder="1"/>
    <xf numFmtId="164" fontId="0" fillId="0" borderId="89" xfId="65" applyFont="1" applyBorder="1"/>
    <xf numFmtId="0" fontId="48" fillId="55" borderId="81" xfId="0" applyFont="1" applyFill="1" applyBorder="1"/>
    <xf numFmtId="0" fontId="0" fillId="0" borderId="61" xfId="0" applyBorder="1"/>
    <xf numFmtId="164" fontId="0" fillId="0" borderId="79" xfId="65" applyFont="1" applyBorder="1" applyAlignment="1">
      <alignment horizontal="right"/>
    </xf>
    <xf numFmtId="164" fontId="0" fillId="0" borderId="80" xfId="65" applyFont="1" applyBorder="1" applyAlignment="1">
      <alignment horizontal="right"/>
    </xf>
    <xf numFmtId="164" fontId="0" fillId="0" borderId="88" xfId="65" applyFont="1" applyBorder="1" applyAlignment="1">
      <alignment horizontal="right"/>
    </xf>
    <xf numFmtId="164" fontId="0" fillId="0" borderId="89" xfId="65" applyFont="1" applyBorder="1" applyAlignment="1">
      <alignment horizontal="right"/>
    </xf>
    <xf numFmtId="164" fontId="48" fillId="55" borderId="82" xfId="65" applyFont="1" applyFill="1" applyBorder="1" applyAlignment="1">
      <alignment horizontal="right"/>
    </xf>
    <xf numFmtId="164" fontId="48" fillId="55" borderId="83" xfId="65" applyFont="1" applyFill="1" applyBorder="1" applyAlignment="1">
      <alignment horizontal="right"/>
    </xf>
    <xf numFmtId="0" fontId="0" fillId="54" borderId="90" xfId="0" applyFill="1" applyBorder="1"/>
    <xf numFmtId="0" fontId="48" fillId="54" borderId="91" xfId="0" applyFont="1" applyFill="1" applyBorder="1" applyAlignment="1">
      <alignment horizontal="center" vertical="center"/>
    </xf>
    <xf numFmtId="0" fontId="48" fillId="54" borderId="86" xfId="0" applyFont="1" applyFill="1" applyBorder="1" applyAlignment="1">
      <alignment horizontal="center" vertical="center"/>
    </xf>
    <xf numFmtId="0" fontId="48" fillId="55" borderId="92" xfId="0" applyFont="1" applyFill="1" applyBorder="1"/>
    <xf numFmtId="0" fontId="0" fillId="0" borderId="88" xfId="0" applyBorder="1"/>
    <xf numFmtId="0" fontId="48" fillId="55" borderId="82" xfId="0" applyFont="1" applyFill="1" applyBorder="1"/>
    <xf numFmtId="0" fontId="0" fillId="0" borderId="17" xfId="0" applyBorder="1"/>
    <xf numFmtId="0" fontId="0" fillId="55" borderId="82" xfId="0" applyFill="1" applyBorder="1"/>
    <xf numFmtId="0" fontId="48" fillId="55" borderId="92" xfId="0" applyFont="1" applyFill="1" applyBorder="1" applyAlignment="1">
      <alignment wrapText="1"/>
    </xf>
    <xf numFmtId="0" fontId="0" fillId="0" borderId="93" xfId="0" applyBorder="1"/>
    <xf numFmtId="164" fontId="0" fillId="0" borderId="93" xfId="65" applyFont="1" applyBorder="1"/>
    <xf numFmtId="164" fontId="0" fillId="0" borderId="94" xfId="65" applyFont="1" applyBorder="1"/>
    <xf numFmtId="0" fontId="48" fillId="55" borderId="85" xfId="0" applyFont="1" applyFill="1" applyBorder="1"/>
    <xf numFmtId="164" fontId="48" fillId="55" borderId="82" xfId="0" applyNumberFormat="1" applyFont="1" applyFill="1" applyBorder="1" applyAlignment="1">
      <alignment horizontal="center"/>
    </xf>
    <xf numFmtId="164" fontId="48" fillId="55" borderId="83" xfId="0" applyNumberFormat="1" applyFont="1" applyFill="1" applyBorder="1" applyAlignment="1">
      <alignment horizontal="center"/>
    </xf>
    <xf numFmtId="0" fontId="48" fillId="54" borderId="64" xfId="0" applyFont="1" applyFill="1" applyBorder="1" applyAlignment="1">
      <alignment horizontal="center"/>
    </xf>
    <xf numFmtId="0" fontId="48" fillId="54" borderId="65" xfId="0" applyFont="1" applyFill="1" applyBorder="1" applyAlignment="1">
      <alignment horizontal="center"/>
    </xf>
    <xf numFmtId="164" fontId="48" fillId="54" borderId="93" xfId="0" applyNumberFormat="1" applyFont="1" applyFill="1" applyBorder="1" applyAlignment="1">
      <alignment horizontal="center" vertical="center"/>
    </xf>
    <xf numFmtId="164" fontId="48" fillId="54" borderId="94" xfId="0" applyNumberFormat="1" applyFont="1" applyFill="1" applyBorder="1" applyAlignment="1">
      <alignment horizontal="center" vertical="center"/>
    </xf>
    <xf numFmtId="0" fontId="0" fillId="54" borderId="90" xfId="0" applyFill="1" applyBorder="1" applyAlignment="1">
      <alignment horizontal="center"/>
    </xf>
    <xf numFmtId="0" fontId="0" fillId="54" borderId="95" xfId="0" applyFill="1" applyBorder="1" applyAlignment="1">
      <alignment horizontal="center"/>
    </xf>
    <xf numFmtId="0" fontId="0" fillId="55" borderId="97" xfId="0" applyFill="1" applyBorder="1"/>
    <xf numFmtId="0" fontId="0" fillId="54" borderId="92" xfId="0" applyFill="1" applyBorder="1" applyAlignment="1">
      <alignment horizontal="center" wrapText="1"/>
    </xf>
    <xf numFmtId="0" fontId="48" fillId="55" borderId="97" xfId="0" applyFont="1" applyFill="1" applyBorder="1"/>
    <xf numFmtId="0" fontId="0" fillId="54" borderId="90" xfId="0" applyFill="1" applyBorder="1" applyAlignment="1">
      <alignment horizontal="center" wrapText="1"/>
    </xf>
    <xf numFmtId="164" fontId="0" fillId="0" borderId="79" xfId="65" applyFont="1" applyBorder="1"/>
    <xf numFmtId="165" fontId="15" fillId="56" borderId="50" xfId="47" quotePrefix="1" applyNumberFormat="1" applyFont="1" applyFill="1" applyBorder="1" applyAlignment="1">
      <alignment horizontal="center" vertical="center" justifyLastLine="1"/>
    </xf>
    <xf numFmtId="0" fontId="15" fillId="56" borderId="50" xfId="47" quotePrefix="1" applyFont="1" applyFill="1" applyBorder="1">
      <alignment horizontal="left" vertical="center" indent="1" justifyLastLine="1"/>
    </xf>
    <xf numFmtId="49" fontId="15" fillId="56" borderId="50" xfId="23" applyNumberFormat="1" applyFont="1" applyFill="1" applyBorder="1" applyAlignment="1">
      <alignment horizontal="center" vertical="center"/>
    </xf>
    <xf numFmtId="4" fontId="15" fillId="56" borderId="50" xfId="23" applyFont="1" applyFill="1" applyBorder="1">
      <alignment vertical="center"/>
    </xf>
    <xf numFmtId="3" fontId="15" fillId="56" borderId="50" xfId="23" applyNumberFormat="1" applyFont="1" applyFill="1" applyBorder="1" applyAlignment="1">
      <alignment horizontal="center" vertical="center"/>
    </xf>
    <xf numFmtId="0" fontId="51" fillId="0" borderId="50" xfId="49" quotePrefix="1" applyFont="1" applyFill="1" applyBorder="1" applyAlignment="1">
      <alignment horizontal="center" vertical="center" justifyLastLine="1"/>
    </xf>
    <xf numFmtId="0" fontId="51" fillId="0" borderId="50" xfId="49" quotePrefix="1" applyFont="1" applyFill="1" applyBorder="1">
      <alignment horizontal="left" vertical="center" indent="1" justifyLastLine="1"/>
    </xf>
    <xf numFmtId="165" fontId="15" fillId="56" borderId="50" xfId="49" quotePrefix="1" applyNumberFormat="1" applyFont="1" applyFill="1" applyBorder="1" applyAlignment="1">
      <alignment horizontal="center" vertical="center" justifyLastLine="1"/>
    </xf>
    <xf numFmtId="0" fontId="15" fillId="56" borderId="50" xfId="49" quotePrefix="1" applyFont="1" applyFill="1" applyBorder="1">
      <alignment horizontal="left" vertical="center" indent="1" justifyLastLine="1"/>
    </xf>
    <xf numFmtId="49" fontId="15" fillId="56" borderId="50" xfId="57" applyNumberFormat="1" applyFont="1" applyFill="1" applyBorder="1" applyAlignment="1">
      <alignment horizontal="center" vertical="center"/>
    </xf>
    <xf numFmtId="4" fontId="15" fillId="56" borderId="50" xfId="57" applyFont="1" applyFill="1" applyBorder="1">
      <alignment horizontal="right" vertical="center"/>
    </xf>
    <xf numFmtId="4" fontId="1" fillId="56" borderId="50" xfId="23" applyFont="1" applyFill="1" applyBorder="1">
      <alignment vertical="center"/>
    </xf>
    <xf numFmtId="3" fontId="15" fillId="0" borderId="50" xfId="23" applyNumberFormat="1" applyFont="1" applyFill="1" applyBorder="1" applyAlignment="1">
      <alignment horizontal="center" vertical="center"/>
    </xf>
    <xf numFmtId="0" fontId="15" fillId="56" borderId="50" xfId="49" quotePrefix="1" applyFont="1" applyFill="1" applyBorder="1" applyAlignment="1">
      <alignment horizontal="center" vertical="center" justifyLastLine="1"/>
    </xf>
    <xf numFmtId="3" fontId="1" fillId="0" borderId="50" xfId="57" applyNumberFormat="1" applyFont="1" applyBorder="1" applyAlignment="1">
      <alignment horizontal="center" vertical="center"/>
    </xf>
    <xf numFmtId="3" fontId="15" fillId="0" borderId="50" xfId="57" applyNumberFormat="1" applyFont="1" applyBorder="1" applyAlignment="1">
      <alignment horizontal="center" vertical="center"/>
    </xf>
    <xf numFmtId="4" fontId="15" fillId="50" borderId="50" xfId="57" applyFont="1" applyFill="1" applyBorder="1">
      <alignment horizontal="right" vertical="center"/>
    </xf>
    <xf numFmtId="0" fontId="15" fillId="0" borderId="50" xfId="57" applyNumberFormat="1" applyFont="1" applyBorder="1" applyAlignment="1">
      <alignment horizontal="center" vertical="center"/>
    </xf>
    <xf numFmtId="49" fontId="3" fillId="0" borderId="50" xfId="57" applyNumberFormat="1" applyFont="1" applyBorder="1" applyAlignment="1">
      <alignment horizontal="center" vertical="center"/>
    </xf>
    <xf numFmtId="165" fontId="15" fillId="50" borderId="50" xfId="47" quotePrefix="1" applyNumberFormat="1" applyFont="1" applyFill="1" applyBorder="1" applyAlignment="1">
      <alignment horizontal="center" vertical="center" justifyLastLine="1"/>
    </xf>
    <xf numFmtId="0" fontId="15" fillId="50" borderId="50" xfId="47" quotePrefix="1" applyFont="1" applyFill="1" applyBorder="1">
      <alignment horizontal="left" vertical="center" indent="1" justifyLastLine="1"/>
    </xf>
    <xf numFmtId="49" fontId="15" fillId="50" borderId="50" xfId="57" applyNumberFormat="1" applyFont="1" applyFill="1" applyBorder="1" applyAlignment="1">
      <alignment horizontal="center" vertical="center"/>
    </xf>
    <xf numFmtId="4" fontId="15" fillId="50" borderId="50" xfId="23" applyFont="1" applyFill="1" applyBorder="1">
      <alignment vertical="center"/>
    </xf>
    <xf numFmtId="165" fontId="1" fillId="50" borderId="50" xfId="47" quotePrefix="1" applyNumberFormat="1" applyFont="1" applyFill="1" applyBorder="1" applyAlignment="1">
      <alignment horizontal="center" vertical="center" justifyLastLine="1"/>
    </xf>
    <xf numFmtId="0" fontId="1" fillId="50" borderId="50" xfId="47" quotePrefix="1" applyFont="1" applyFill="1" applyBorder="1">
      <alignment horizontal="left" vertical="center" indent="1" justifyLastLine="1"/>
    </xf>
    <xf numFmtId="49" fontId="1" fillId="50" borderId="50" xfId="57" applyNumberFormat="1" applyFont="1" applyFill="1" applyBorder="1" applyAlignment="1">
      <alignment horizontal="center" vertical="center"/>
    </xf>
    <xf numFmtId="4" fontId="1" fillId="50" borderId="50" xfId="23" applyFont="1" applyFill="1" applyBorder="1">
      <alignment vertical="center"/>
    </xf>
    <xf numFmtId="49" fontId="2" fillId="0" borderId="98" xfId="57" applyNumberFormat="1" applyBorder="1" applyAlignment="1">
      <alignment horizontal="center" vertical="center"/>
    </xf>
    <xf numFmtId="0" fontId="35" fillId="0" borderId="48" xfId="0" applyFont="1" applyBorder="1" applyAlignment="1">
      <alignment horizontal="center"/>
    </xf>
    <xf numFmtId="0" fontId="35" fillId="0" borderId="48" xfId="0" applyFont="1" applyBorder="1"/>
    <xf numFmtId="0" fontId="15" fillId="0" borderId="98" xfId="49" quotePrefix="1" applyFont="1" applyFill="1" applyBorder="1" applyAlignment="1">
      <alignment horizontal="center" vertical="center" justifyLastLine="1"/>
    </xf>
    <xf numFmtId="0" fontId="15" fillId="0" borderId="98" xfId="49" quotePrefix="1" applyFont="1" applyFill="1" applyBorder="1">
      <alignment horizontal="left" vertical="center" indent="1" justifyLastLine="1"/>
    </xf>
    <xf numFmtId="49" fontId="15" fillId="0" borderId="98" xfId="57" applyNumberFormat="1" applyFont="1" applyBorder="1" applyAlignment="1">
      <alignment horizontal="center" vertical="center"/>
    </xf>
    <xf numFmtId="4" fontId="15" fillId="0" borderId="98" xfId="57" applyFont="1" applyBorder="1">
      <alignment horizontal="right" vertical="center"/>
    </xf>
    <xf numFmtId="0" fontId="2" fillId="0" borderId="48" xfId="49" quotePrefix="1" applyFill="1" applyBorder="1" applyAlignment="1">
      <alignment horizontal="center" vertical="center" justifyLastLine="1"/>
    </xf>
    <xf numFmtId="0" fontId="2" fillId="0" borderId="48" xfId="49" quotePrefix="1" applyFill="1" applyBorder="1">
      <alignment horizontal="left" vertical="center" indent="1" justifyLastLine="1"/>
    </xf>
    <xf numFmtId="49" fontId="2" fillId="0" borderId="48" xfId="57" applyNumberFormat="1" applyBorder="1" applyAlignment="1">
      <alignment horizontal="center" vertical="center"/>
    </xf>
    <xf numFmtId="4" fontId="2" fillId="0" borderId="48" xfId="57" applyBorder="1">
      <alignment horizontal="right" vertical="center"/>
    </xf>
    <xf numFmtId="4" fontId="1" fillId="0" borderId="48" xfId="57" applyFont="1" applyBorder="1">
      <alignment horizontal="right" vertical="center"/>
    </xf>
    <xf numFmtId="165" fontId="15" fillId="0" borderId="98" xfId="49" quotePrefix="1" applyNumberFormat="1" applyFont="1" applyFill="1" applyBorder="1" applyAlignment="1">
      <alignment horizontal="center" vertical="center" justifyLastLine="1"/>
    </xf>
    <xf numFmtId="165" fontId="1" fillId="0" borderId="48" xfId="49" quotePrefix="1" applyNumberFormat="1" applyFont="1" applyFill="1" applyBorder="1" applyAlignment="1">
      <alignment horizontal="center" vertical="center" justifyLastLine="1"/>
    </xf>
    <xf numFmtId="0" fontId="19" fillId="0" borderId="48" xfId="0" applyFont="1" applyBorder="1" applyAlignment="1">
      <alignment horizontal="center"/>
    </xf>
    <xf numFmtId="0" fontId="19" fillId="0" borderId="48" xfId="0" quotePrefix="1" applyFont="1" applyBorder="1" applyAlignment="1">
      <alignment horizontal="center"/>
    </xf>
    <xf numFmtId="0" fontId="35" fillId="0" borderId="48" xfId="0" quotePrefix="1" applyFont="1" applyBorder="1" applyAlignment="1">
      <alignment horizontal="center"/>
    </xf>
    <xf numFmtId="4" fontId="19" fillId="0" borderId="48" xfId="0" applyNumberFormat="1" applyFont="1" applyBorder="1" applyAlignment="1">
      <alignment horizontal="right"/>
    </xf>
    <xf numFmtId="4" fontId="35" fillId="0" borderId="48" xfId="0" applyNumberFormat="1" applyFont="1" applyBorder="1" applyAlignment="1">
      <alignment horizontal="right"/>
    </xf>
    <xf numFmtId="4" fontId="3" fillId="52" borderId="50" xfId="47" quotePrefix="1" applyNumberFormat="1" applyFont="1" applyFill="1" applyBorder="1" applyAlignment="1">
      <alignment vertical="center" justifyLastLine="1"/>
    </xf>
    <xf numFmtId="4" fontId="15" fillId="56" borderId="50" xfId="47" quotePrefix="1" applyNumberFormat="1" applyFont="1" applyFill="1" applyBorder="1" applyAlignment="1">
      <alignment vertical="center" justifyLastLine="1"/>
    </xf>
    <xf numFmtId="4" fontId="15" fillId="56" borderId="50" xfId="49" quotePrefix="1" applyNumberFormat="1" applyFont="1" applyFill="1" applyBorder="1" applyAlignment="1">
      <alignment vertical="center" justifyLastLine="1"/>
    </xf>
    <xf numFmtId="0" fontId="15" fillId="50" borderId="50" xfId="49" quotePrefix="1" applyFont="1" applyFill="1" applyBorder="1" applyAlignment="1">
      <alignment horizontal="center" vertical="center" justifyLastLine="1"/>
    </xf>
    <xf numFmtId="0" fontId="15" fillId="50" borderId="50" xfId="49" quotePrefix="1" applyFont="1" applyFill="1" applyBorder="1">
      <alignment horizontal="left" vertical="center" indent="1" justifyLastLine="1"/>
    </xf>
    <xf numFmtId="49" fontId="15" fillId="50" borderId="50" xfId="23" applyNumberFormat="1" applyFont="1" applyFill="1" applyBorder="1" applyAlignment="1">
      <alignment horizontal="center" vertical="center"/>
    </xf>
    <xf numFmtId="0" fontId="1" fillId="50" borderId="50" xfId="49" quotePrefix="1" applyFont="1" applyFill="1" applyBorder="1">
      <alignment horizontal="left" vertical="center" indent="1" justifyLastLine="1"/>
    </xf>
    <xf numFmtId="0" fontId="1" fillId="50" borderId="50" xfId="49" quotePrefix="1" applyFont="1" applyFill="1" applyBorder="1" applyAlignment="1">
      <alignment horizontal="center" vertical="center" justifyLastLine="1"/>
    </xf>
    <xf numFmtId="49" fontId="1" fillId="50" borderId="50" xfId="23" applyNumberFormat="1" applyFont="1" applyFill="1" applyBorder="1" applyAlignment="1">
      <alignment horizontal="center" vertical="center"/>
    </xf>
    <xf numFmtId="4" fontId="15" fillId="56" borderId="50" xfId="23" applyFont="1" applyFill="1" applyBorder="1" applyAlignment="1">
      <alignment horizontal="right" vertical="center"/>
    </xf>
    <xf numFmtId="4" fontId="15" fillId="50" borderId="50" xfId="23" applyFont="1" applyFill="1" applyBorder="1" applyAlignment="1">
      <alignment horizontal="right" vertical="center"/>
    </xf>
    <xf numFmtId="4" fontId="1" fillId="50" borderId="50" xfId="23" applyFont="1" applyFill="1" applyBorder="1" applyAlignment="1">
      <alignment horizontal="right" vertical="center"/>
    </xf>
    <xf numFmtId="0" fontId="35" fillId="0" borderId="17" xfId="0" applyFont="1" applyBorder="1" applyAlignment="1">
      <alignment horizontal="center"/>
    </xf>
    <xf numFmtId="0" fontId="2" fillId="0" borderId="98" xfId="49" quotePrefix="1" applyFill="1" applyBorder="1">
      <alignment horizontal="left" vertical="center" indent="1" justifyLastLine="1"/>
    </xf>
    <xf numFmtId="0" fontId="35" fillId="0" borderId="17" xfId="0" quotePrefix="1" applyFont="1" applyBorder="1" applyAlignment="1">
      <alignment horizontal="center"/>
    </xf>
    <xf numFmtId="0" fontId="15" fillId="56" borderId="98" xfId="49" quotePrefix="1" applyFont="1" applyFill="1" applyBorder="1" applyAlignment="1">
      <alignment horizontal="center" vertical="center" justifyLastLine="1"/>
    </xf>
    <xf numFmtId="0" fontId="15" fillId="56" borderId="98" xfId="49" quotePrefix="1" applyFont="1" applyFill="1" applyBorder="1">
      <alignment horizontal="left" vertical="center" indent="1" justifyLastLine="1"/>
    </xf>
    <xf numFmtId="0" fontId="15" fillId="50" borderId="48" xfId="49" quotePrefix="1" applyFont="1" applyFill="1" applyBorder="1">
      <alignment horizontal="left" vertical="center" indent="1" justifyLastLine="1"/>
    </xf>
    <xf numFmtId="4" fontId="15" fillId="50" borderId="48" xfId="49" quotePrefix="1" applyNumberFormat="1" applyFont="1" applyFill="1" applyBorder="1" applyAlignment="1">
      <alignment vertical="center" justifyLastLine="1"/>
    </xf>
    <xf numFmtId="0" fontId="1" fillId="50" borderId="48" xfId="49" quotePrefix="1" applyFont="1" applyFill="1" applyBorder="1">
      <alignment horizontal="left" vertical="center" indent="1" justifyLastLine="1"/>
    </xf>
    <xf numFmtId="4" fontId="1" fillId="50" borderId="48" xfId="49" quotePrefix="1" applyNumberFormat="1" applyFont="1" applyFill="1" applyBorder="1" applyAlignment="1">
      <alignment vertical="center" justifyLastLine="1"/>
    </xf>
    <xf numFmtId="4" fontId="15" fillId="50" borderId="50" xfId="47" quotePrefix="1" applyNumberFormat="1" applyFont="1" applyFill="1" applyBorder="1" applyAlignment="1">
      <alignment vertical="center" justifyLastLine="1"/>
    </xf>
    <xf numFmtId="0" fontId="1" fillId="50" borderId="98" xfId="49" quotePrefix="1" applyFont="1" applyFill="1" applyBorder="1" applyAlignment="1">
      <alignment horizontal="center" vertical="center" justifyLastLine="1"/>
    </xf>
    <xf numFmtId="0" fontId="1" fillId="50" borderId="98" xfId="49" quotePrefix="1" applyFont="1" applyFill="1" applyBorder="1">
      <alignment horizontal="left" vertical="center" indent="1" justifyLastLine="1"/>
    </xf>
    <xf numFmtId="165" fontId="15" fillId="56" borderId="48" xfId="47" quotePrefix="1" applyNumberFormat="1" applyFont="1" applyFill="1" applyBorder="1" applyAlignment="1">
      <alignment horizontal="center" vertical="center" justifyLastLine="1"/>
    </xf>
    <xf numFmtId="0" fontId="15" fillId="56" borderId="48" xfId="47" quotePrefix="1" applyFont="1" applyFill="1" applyBorder="1">
      <alignment horizontal="left" vertical="center" indent="1" justifyLastLine="1"/>
    </xf>
    <xf numFmtId="49" fontId="15" fillId="56" borderId="48" xfId="57" applyNumberFormat="1" applyFont="1" applyFill="1" applyBorder="1" applyAlignment="1">
      <alignment horizontal="center" vertical="center"/>
    </xf>
    <xf numFmtId="165" fontId="15" fillId="0" borderId="48" xfId="49" quotePrefix="1" applyNumberFormat="1" applyFont="1" applyFill="1" applyBorder="1" applyAlignment="1">
      <alignment horizontal="center" vertical="center" justifyLastLine="1"/>
    </xf>
    <xf numFmtId="0" fontId="15" fillId="0" borderId="48" xfId="49" quotePrefix="1" applyFont="1" applyFill="1" applyBorder="1">
      <alignment horizontal="left" vertical="center" indent="1" justifyLastLine="1"/>
    </xf>
    <xf numFmtId="4" fontId="15" fillId="0" borderId="48" xfId="23" applyFont="1" applyFill="1" applyBorder="1">
      <alignment vertical="center"/>
    </xf>
    <xf numFmtId="49" fontId="15" fillId="0" borderId="48" xfId="23" applyNumberFormat="1" applyFont="1" applyFill="1" applyBorder="1" applyAlignment="1">
      <alignment horizontal="center" vertical="center"/>
    </xf>
    <xf numFmtId="0" fontId="1" fillId="0" borderId="48" xfId="49" quotePrefix="1" applyFont="1" applyFill="1" applyBorder="1">
      <alignment horizontal="left" vertical="center" indent="1" justifyLastLine="1"/>
    </xf>
    <xf numFmtId="4" fontId="1" fillId="0" borderId="48" xfId="23" applyFont="1" applyFill="1" applyBorder="1">
      <alignment vertical="center"/>
    </xf>
    <xf numFmtId="49" fontId="1" fillId="0" borderId="48" xfId="23" applyNumberFormat="1" applyFont="1" applyFill="1" applyBorder="1" applyAlignment="1">
      <alignment horizontal="center" vertical="center"/>
    </xf>
    <xf numFmtId="4" fontId="51" fillId="0" borderId="48" xfId="0" applyNumberFormat="1" applyFont="1" applyBorder="1"/>
    <xf numFmtId="4" fontId="3" fillId="56" borderId="48" xfId="47" quotePrefix="1" applyNumberFormat="1" applyFont="1" applyFill="1" applyBorder="1" applyAlignment="1">
      <alignment vertical="center" justifyLastLine="1"/>
    </xf>
    <xf numFmtId="0" fontId="3" fillId="52" borderId="99" xfId="47" quotePrefix="1" applyFont="1" applyFill="1" applyBorder="1">
      <alignment horizontal="left" vertical="center" indent="1" justifyLastLine="1"/>
    </xf>
    <xf numFmtId="4" fontId="3" fillId="52" borderId="99" xfId="47" quotePrefix="1" applyNumberFormat="1" applyFont="1" applyFill="1" applyBorder="1" applyAlignment="1">
      <alignment vertical="center" justifyLastLine="1"/>
    </xf>
    <xf numFmtId="0" fontId="15" fillId="50" borderId="98" xfId="49" quotePrefix="1" applyFont="1" applyFill="1" applyBorder="1" applyAlignment="1">
      <alignment horizontal="center" vertical="center" justifyLastLine="1"/>
    </xf>
    <xf numFmtId="0" fontId="15" fillId="50" borderId="98" xfId="49" quotePrefix="1" applyFont="1" applyFill="1" applyBorder="1">
      <alignment horizontal="left" vertical="center" indent="1" justifyLastLine="1"/>
    </xf>
    <xf numFmtId="49" fontId="15" fillId="0" borderId="48" xfId="57" applyNumberFormat="1" applyFont="1" applyBorder="1" applyAlignment="1">
      <alignment horizontal="center" vertical="center"/>
    </xf>
    <xf numFmtId="4" fontId="19" fillId="0" borderId="48" xfId="0" applyNumberFormat="1" applyFont="1" applyBorder="1"/>
    <xf numFmtId="0" fontId="15" fillId="56" borderId="48" xfId="47" quotePrefix="1" applyFont="1" applyFill="1" applyBorder="1" applyAlignment="1">
      <alignment horizontal="center" vertical="center" justifyLastLine="1"/>
    </xf>
    <xf numFmtId="4" fontId="15" fillId="56" borderId="48" xfId="47" quotePrefix="1" applyNumberFormat="1" applyFont="1" applyFill="1" applyBorder="1" applyAlignment="1">
      <alignment vertical="center" justifyLastLine="1"/>
    </xf>
    <xf numFmtId="1" fontId="15" fillId="0" borderId="50" xfId="23" applyNumberFormat="1" applyFont="1" applyFill="1" applyBorder="1" applyAlignment="1">
      <alignment horizontal="center" vertical="center"/>
    </xf>
    <xf numFmtId="1" fontId="15" fillId="0" borderId="50" xfId="57" applyNumberFormat="1" applyFont="1" applyBorder="1" applyAlignment="1">
      <alignment horizontal="center" vertical="center"/>
    </xf>
    <xf numFmtId="165" fontId="3" fillId="50" borderId="50" xfId="47" quotePrefix="1" applyNumberFormat="1" applyFont="1" applyFill="1" applyBorder="1" applyAlignment="1">
      <alignment horizontal="center" vertical="center" justifyLastLine="1"/>
    </xf>
    <xf numFmtId="0" fontId="3" fillId="50" borderId="50" xfId="47" quotePrefix="1" applyFont="1" applyFill="1" applyBorder="1">
      <alignment horizontal="left" vertical="center" indent="1" justifyLastLine="1"/>
    </xf>
    <xf numFmtId="1" fontId="15" fillId="50" borderId="50" xfId="23" applyNumberFormat="1" applyFont="1" applyFill="1" applyBorder="1" applyAlignment="1">
      <alignment horizontal="center" vertical="center"/>
    </xf>
    <xf numFmtId="1" fontId="1" fillId="50" borderId="50" xfId="23" applyNumberFormat="1" applyFont="1" applyFill="1" applyBorder="1" applyAlignment="1">
      <alignment horizontal="center" vertical="center"/>
    </xf>
    <xf numFmtId="0" fontId="15" fillId="56" borderId="50" xfId="47" quotePrefix="1" applyFont="1" applyFill="1" applyBorder="1" applyAlignment="1">
      <alignment horizontal="center" vertical="center" justifyLastLine="1"/>
    </xf>
    <xf numFmtId="4" fontId="15" fillId="0" borderId="98" xfId="49" quotePrefix="1" applyNumberFormat="1" applyFont="1" applyFill="1" applyBorder="1" applyAlignment="1">
      <alignment vertical="center" justifyLastLine="1"/>
    </xf>
    <xf numFmtId="0" fontId="1" fillId="0" borderId="100" xfId="49" quotePrefix="1" applyFont="1" applyFill="1" applyBorder="1">
      <alignment horizontal="left" vertical="center" indent="1" justifyLastLine="1"/>
    </xf>
    <xf numFmtId="4" fontId="3" fillId="52" borderId="101" xfId="47" quotePrefix="1" applyNumberFormat="1" applyFont="1" applyFill="1" applyBorder="1" applyAlignment="1">
      <alignment vertical="center" justifyLastLine="1"/>
    </xf>
    <xf numFmtId="0" fontId="1" fillId="0" borderId="98" xfId="49" quotePrefix="1" applyFont="1" applyFill="1" applyBorder="1" applyAlignment="1">
      <alignment horizontal="center" vertical="center" justifyLastLine="1"/>
    </xf>
    <xf numFmtId="0" fontId="1" fillId="0" borderId="98" xfId="49" quotePrefix="1" applyFont="1" applyFill="1" applyBorder="1">
      <alignment horizontal="left" vertical="center" indent="1" justifyLastLine="1"/>
    </xf>
    <xf numFmtId="4" fontId="1" fillId="0" borderId="98" xfId="49" quotePrefix="1" applyNumberFormat="1" applyFont="1" applyFill="1" applyBorder="1" applyAlignment="1">
      <alignment vertical="center" justifyLastLine="1"/>
    </xf>
    <xf numFmtId="4" fontId="3" fillId="0" borderId="50" xfId="57" applyFont="1" applyBorder="1" applyAlignment="1">
      <alignment horizontal="center" vertical="center"/>
    </xf>
    <xf numFmtId="165" fontId="1" fillId="0" borderId="0" xfId="49" quotePrefix="1" applyNumberFormat="1" applyFont="1" applyFill="1" applyBorder="1" applyAlignment="1">
      <alignment horizontal="center" vertical="center" justifyLastLine="1"/>
    </xf>
    <xf numFmtId="4" fontId="35" fillId="0" borderId="8" xfId="0" applyNumberFormat="1" applyFont="1" applyBorder="1" applyAlignment="1">
      <alignment horizontal="right"/>
    </xf>
    <xf numFmtId="4" fontId="15" fillId="56" borderId="50" xfId="49" quotePrefix="1" applyNumberFormat="1" applyFont="1" applyFill="1" applyBorder="1" applyAlignment="1">
      <alignment horizontal="right" vertical="center" justifyLastLine="1"/>
    </xf>
    <xf numFmtId="4" fontId="15" fillId="0" borderId="48" xfId="23" applyFont="1" applyFill="1" applyBorder="1" applyAlignment="1">
      <alignment horizontal="right" vertical="center"/>
    </xf>
    <xf numFmtId="4" fontId="3" fillId="52" borderId="50" xfId="47" quotePrefix="1" applyNumberFormat="1" applyFont="1" applyFill="1" applyBorder="1" applyAlignment="1">
      <alignment horizontal="right" vertical="center" indent="1" justifyLastLine="1"/>
    </xf>
    <xf numFmtId="4" fontId="15" fillId="56" borderId="48" xfId="47" quotePrefix="1" applyNumberFormat="1" applyFont="1" applyFill="1" applyBorder="1" applyAlignment="1">
      <alignment horizontal="right" vertical="center" indent="1" justifyLastLine="1"/>
    </xf>
    <xf numFmtId="4" fontId="15" fillId="56" borderId="48" xfId="57" applyFont="1" applyFill="1" applyBorder="1" applyAlignment="1">
      <alignment vertical="center"/>
    </xf>
    <xf numFmtId="49" fontId="15" fillId="56" borderId="100" xfId="23" applyNumberFormat="1" applyFont="1" applyFill="1" applyBorder="1" applyAlignment="1">
      <alignment horizontal="center" vertical="center"/>
    </xf>
    <xf numFmtId="49" fontId="15" fillId="50" borderId="100" xfId="23" applyNumberFormat="1" applyFont="1" applyFill="1" applyBorder="1" applyAlignment="1">
      <alignment horizontal="center" vertical="center"/>
    </xf>
    <xf numFmtId="49" fontId="1" fillId="50" borderId="102" xfId="23" applyNumberFormat="1" applyFont="1" applyFill="1" applyBorder="1" applyAlignment="1">
      <alignment horizontal="center" vertical="center"/>
    </xf>
    <xf numFmtId="49" fontId="15" fillId="50" borderId="102" xfId="23" applyNumberFormat="1" applyFont="1" applyFill="1" applyBorder="1" applyAlignment="1">
      <alignment horizontal="center" vertical="center"/>
    </xf>
    <xf numFmtId="49" fontId="1" fillId="50" borderId="106" xfId="23" applyNumberFormat="1" applyFont="1" applyFill="1" applyBorder="1" applyAlignment="1">
      <alignment horizontal="center" vertical="center"/>
    </xf>
    <xf numFmtId="4" fontId="15" fillId="56" borderId="50" xfId="47" quotePrefix="1" applyNumberFormat="1" applyFont="1" applyFill="1" applyBorder="1" applyAlignment="1">
      <alignment horizontal="right" vertical="center" justifyLastLine="1"/>
    </xf>
    <xf numFmtId="4" fontId="15" fillId="50" borderId="48" xfId="49" quotePrefix="1" applyNumberFormat="1" applyFont="1" applyFill="1" applyBorder="1" applyAlignment="1">
      <alignment horizontal="right" vertical="center" indent="1" justifyLastLine="1"/>
    </xf>
    <xf numFmtId="4" fontId="1" fillId="50" borderId="48" xfId="49" quotePrefix="1" applyNumberFormat="1" applyFont="1" applyFill="1" applyBorder="1" applyAlignment="1">
      <alignment horizontal="right" vertical="center" indent="1" justifyLastLine="1"/>
    </xf>
    <xf numFmtId="4" fontId="15" fillId="50" borderId="8" xfId="49" quotePrefix="1" applyNumberFormat="1" applyFont="1" applyFill="1" applyBorder="1" applyAlignment="1">
      <alignment horizontal="right" vertical="center" indent="1" justifyLastLine="1"/>
    </xf>
    <xf numFmtId="4" fontId="15" fillId="56" borderId="98" xfId="49" quotePrefix="1" applyNumberFormat="1" applyFont="1" applyFill="1" applyBorder="1" applyAlignment="1">
      <alignment horizontal="right" vertical="center" justifyLastLine="1"/>
    </xf>
    <xf numFmtId="4" fontId="1" fillId="50" borderId="8" xfId="49" quotePrefix="1" applyNumberFormat="1" applyFont="1" applyFill="1" applyBorder="1" applyAlignment="1">
      <alignment horizontal="right" vertical="center" indent="1" justifyLastLine="1"/>
    </xf>
    <xf numFmtId="4" fontId="15" fillId="52" borderId="50" xfId="47" quotePrefix="1" applyNumberFormat="1" applyFont="1" applyFill="1" applyBorder="1" applyAlignment="1">
      <alignment horizontal="right" vertical="center" indent="1" justifyLastLine="1"/>
    </xf>
    <xf numFmtId="4" fontId="15" fillId="52" borderId="99" xfId="47" quotePrefix="1" applyNumberFormat="1" applyFont="1" applyFill="1" applyBorder="1" applyAlignment="1">
      <alignment horizontal="right" vertical="center" indent="1" justifyLastLine="1"/>
    </xf>
    <xf numFmtId="0" fontId="35" fillId="0" borderId="0" xfId="0" quotePrefix="1" applyFont="1" applyAlignment="1">
      <alignment horizontal="center"/>
    </xf>
    <xf numFmtId="49" fontId="2" fillId="0" borderId="0" xfId="57" applyNumberFormat="1" applyBorder="1" applyAlignment="1">
      <alignment horizontal="center" vertical="center"/>
    </xf>
    <xf numFmtId="4" fontId="1" fillId="0" borderId="0" xfId="23" applyFont="1" applyFill="1" applyBorder="1">
      <alignment vertical="center"/>
    </xf>
    <xf numFmtId="4" fontId="2" fillId="0" borderId="100" xfId="57" applyBorder="1">
      <alignment horizontal="right" vertical="center"/>
    </xf>
    <xf numFmtId="4" fontId="16" fillId="48" borderId="100" xfId="23" applyFont="1" applyFill="1" applyBorder="1">
      <alignment vertical="center"/>
    </xf>
    <xf numFmtId="4" fontId="16" fillId="46" borderId="100" xfId="23" applyFont="1" applyFill="1" applyBorder="1">
      <alignment vertical="center"/>
    </xf>
    <xf numFmtId="4" fontId="22" fillId="47" borderId="100" xfId="23" applyFont="1" applyFill="1" applyBorder="1">
      <alignment vertical="center"/>
    </xf>
    <xf numFmtId="4" fontId="47" fillId="46" borderId="100" xfId="23" applyFont="1" applyFill="1" applyBorder="1">
      <alignment vertical="center"/>
    </xf>
    <xf numFmtId="4" fontId="18" fillId="48" borderId="100" xfId="23" applyFont="1" applyFill="1" applyBorder="1">
      <alignment vertical="center"/>
    </xf>
    <xf numFmtId="4" fontId="15" fillId="52" borderId="100" xfId="23" applyFont="1" applyFill="1" applyBorder="1">
      <alignment vertical="center"/>
    </xf>
    <xf numFmtId="4" fontId="15" fillId="56" borderId="100" xfId="23" applyFont="1" applyFill="1" applyBorder="1">
      <alignment vertical="center"/>
    </xf>
    <xf numFmtId="4" fontId="15" fillId="0" borderId="100" xfId="23" applyFont="1" applyFill="1" applyBorder="1">
      <alignment vertical="center"/>
    </xf>
    <xf numFmtId="4" fontId="1" fillId="0" borderId="100" xfId="57" applyFont="1" applyBorder="1">
      <alignment horizontal="right" vertical="center"/>
    </xf>
    <xf numFmtId="4" fontId="15" fillId="0" borderId="100" xfId="57" applyFont="1" applyBorder="1">
      <alignment horizontal="right" vertical="center"/>
    </xf>
    <xf numFmtId="4" fontId="1" fillId="0" borderId="100" xfId="23" applyFont="1" applyFill="1" applyBorder="1">
      <alignment vertical="center"/>
    </xf>
    <xf numFmtId="4" fontId="15" fillId="56" borderId="100" xfId="57" applyFont="1" applyFill="1" applyBorder="1">
      <alignment horizontal="right" vertical="center"/>
    </xf>
    <xf numFmtId="4" fontId="1" fillId="50" borderId="100" xfId="57" applyFont="1" applyFill="1" applyBorder="1">
      <alignment horizontal="right" vertical="center"/>
    </xf>
    <xf numFmtId="4" fontId="15" fillId="50" borderId="100" xfId="57" applyFont="1" applyFill="1" applyBorder="1">
      <alignment horizontal="right" vertical="center"/>
    </xf>
    <xf numFmtId="4" fontId="15" fillId="50" borderId="100" xfId="23" applyFont="1" applyFill="1" applyBorder="1">
      <alignment vertical="center"/>
    </xf>
    <xf numFmtId="4" fontId="1" fillId="50" borderId="100" xfId="23" applyFont="1" applyFill="1" applyBorder="1">
      <alignment vertical="center"/>
    </xf>
    <xf numFmtId="4" fontId="1" fillId="0" borderId="100" xfId="0" applyNumberFormat="1" applyFont="1" applyBorder="1"/>
    <xf numFmtId="4" fontId="15" fillId="56" borderId="100" xfId="47" quotePrefix="1" applyNumberFormat="1" applyFont="1" applyFill="1" applyBorder="1" applyAlignment="1">
      <alignment vertical="center" justifyLastLine="1"/>
    </xf>
    <xf numFmtId="4" fontId="15" fillId="56" borderId="100" xfId="23" applyFont="1" applyFill="1" applyBorder="1" applyAlignment="1">
      <alignment horizontal="right" vertical="center"/>
    </xf>
    <xf numFmtId="4" fontId="15" fillId="50" borderId="100" xfId="23" applyFont="1" applyFill="1" applyBorder="1" applyAlignment="1">
      <alignment horizontal="right" vertical="center"/>
    </xf>
    <xf numFmtId="4" fontId="1" fillId="50" borderId="100" xfId="23" applyFont="1" applyFill="1" applyBorder="1" applyAlignment="1">
      <alignment horizontal="right" vertical="center"/>
    </xf>
    <xf numFmtId="4" fontId="35" fillId="0" borderId="100" xfId="57" applyFont="1" applyBorder="1">
      <alignment horizontal="right" vertical="center"/>
    </xf>
    <xf numFmtId="4" fontId="15" fillId="0" borderId="102" xfId="57" applyFont="1" applyBorder="1">
      <alignment horizontal="right" vertical="center"/>
    </xf>
    <xf numFmtId="4" fontId="35" fillId="0" borderId="106" xfId="57" applyFont="1" applyBorder="1">
      <alignment horizontal="right" vertical="center"/>
    </xf>
    <xf numFmtId="4" fontId="3" fillId="52" borderId="100" xfId="47" quotePrefix="1" applyNumberFormat="1" applyFont="1" applyFill="1" applyBorder="1" applyAlignment="1">
      <alignment vertical="center" justifyLastLine="1"/>
    </xf>
    <xf numFmtId="4" fontId="19" fillId="0" borderId="106" xfId="0" applyNumberFormat="1" applyFont="1" applyBorder="1" applyAlignment="1">
      <alignment horizontal="right"/>
    </xf>
    <xf numFmtId="4" fontId="35" fillId="0" borderId="106" xfId="0" applyNumberFormat="1" applyFont="1" applyBorder="1" applyAlignment="1">
      <alignment horizontal="right"/>
    </xf>
    <xf numFmtId="4" fontId="15" fillId="56" borderId="100" xfId="49" quotePrefix="1" applyNumberFormat="1" applyFont="1" applyFill="1" applyBorder="1" applyAlignment="1">
      <alignment vertical="center" justifyLastLine="1"/>
    </xf>
    <xf numFmtId="4" fontId="15" fillId="0" borderId="102" xfId="49" quotePrefix="1" applyNumberFormat="1" applyFont="1" applyFill="1" applyBorder="1" applyAlignment="1">
      <alignment vertical="center" justifyLastLine="1"/>
    </xf>
    <xf numFmtId="4" fontId="1" fillId="0" borderId="102" xfId="49" quotePrefix="1" applyNumberFormat="1" applyFont="1" applyFill="1" applyBorder="1" applyAlignment="1">
      <alignment vertical="center" justifyLastLine="1"/>
    </xf>
    <xf numFmtId="4" fontId="15" fillId="56" borderId="106" xfId="47" quotePrefix="1" applyNumberFormat="1" applyFont="1" applyFill="1" applyBorder="1" applyAlignment="1">
      <alignment vertical="center" justifyLastLine="1"/>
    </xf>
    <xf numFmtId="4" fontId="19" fillId="0" borderId="106" xfId="0" applyNumberFormat="1" applyFont="1" applyBorder="1"/>
    <xf numFmtId="4" fontId="51" fillId="0" borderId="106" xfId="0" applyNumberFormat="1" applyFont="1" applyBorder="1"/>
    <xf numFmtId="4" fontId="3" fillId="52" borderId="112" xfId="47" quotePrefix="1" applyNumberFormat="1" applyFont="1" applyFill="1" applyBorder="1" applyAlignment="1">
      <alignment vertical="center" justifyLastLine="1"/>
    </xf>
    <xf numFmtId="4" fontId="3" fillId="56" borderId="106" xfId="47" quotePrefix="1" applyNumberFormat="1" applyFont="1" applyFill="1" applyBorder="1" applyAlignment="1">
      <alignment vertical="center" justifyLastLine="1"/>
    </xf>
    <xf numFmtId="4" fontId="15" fillId="50" borderId="106" xfId="49" quotePrefix="1" applyNumberFormat="1" applyFont="1" applyFill="1" applyBorder="1" applyAlignment="1">
      <alignment vertical="center" justifyLastLine="1"/>
    </xf>
    <xf numFmtId="4" fontId="15" fillId="50" borderId="100" xfId="47" quotePrefix="1" applyNumberFormat="1" applyFont="1" applyFill="1" applyBorder="1" applyAlignment="1">
      <alignment vertical="center" justifyLastLine="1"/>
    </xf>
    <xf numFmtId="4" fontId="1" fillId="50" borderId="106" xfId="49" quotePrefix="1" applyNumberFormat="1" applyFont="1" applyFill="1" applyBorder="1" applyAlignment="1">
      <alignment vertical="center" justifyLastLine="1"/>
    </xf>
    <xf numFmtId="4" fontId="3" fillId="52" borderId="59" xfId="47" quotePrefix="1" applyNumberFormat="1" applyFont="1" applyFill="1" applyBorder="1" applyAlignment="1">
      <alignment vertical="center" justifyLastLine="1"/>
    </xf>
    <xf numFmtId="4" fontId="19" fillId="0" borderId="114" xfId="0" applyNumberFormat="1" applyFont="1" applyBorder="1" applyAlignment="1">
      <alignment horizontal="right"/>
    </xf>
    <xf numFmtId="0" fontId="19" fillId="0" borderId="111" xfId="0" applyFont="1" applyBorder="1" applyAlignment="1">
      <alignment horizontal="center"/>
    </xf>
    <xf numFmtId="0" fontId="35" fillId="0" borderId="111" xfId="0" applyFont="1" applyBorder="1" applyAlignment="1">
      <alignment horizontal="center"/>
    </xf>
    <xf numFmtId="4" fontId="15" fillId="56" borderId="101" xfId="49" quotePrefix="1" applyNumberFormat="1" applyFont="1" applyFill="1" applyBorder="1" applyAlignment="1">
      <alignment vertical="center" justifyLastLine="1"/>
    </xf>
    <xf numFmtId="4" fontId="2" fillId="0" borderId="113" xfId="57" applyBorder="1">
      <alignment horizontal="right" vertical="center"/>
    </xf>
    <xf numFmtId="0" fontId="35" fillId="0" borderId="115" xfId="0" quotePrefix="1" applyFont="1" applyBorder="1" applyAlignment="1">
      <alignment horizontal="center"/>
    </xf>
    <xf numFmtId="0" fontId="15" fillId="56" borderId="101" xfId="49" quotePrefix="1" applyFont="1" applyFill="1" applyBorder="1">
      <alignment horizontal="left" vertical="center" indent="1" justifyLastLine="1"/>
    </xf>
    <xf numFmtId="4" fontId="15" fillId="56" borderId="59" xfId="49" quotePrefix="1" applyNumberFormat="1" applyFont="1" applyFill="1" applyBorder="1" applyAlignment="1">
      <alignment vertical="center" justifyLastLine="1"/>
    </xf>
    <xf numFmtId="0" fontId="35" fillId="0" borderId="113" xfId="0" applyFont="1" applyBorder="1" applyAlignment="1">
      <alignment horizontal="center"/>
    </xf>
    <xf numFmtId="4" fontId="35" fillId="0" borderId="113" xfId="0" applyNumberFormat="1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0" fontId="0" fillId="0" borderId="48" xfId="0" applyNumberFormat="1" applyBorder="1" applyAlignment="1">
      <alignment horizontal="center"/>
    </xf>
    <xf numFmtId="10" fontId="48" fillId="52" borderId="48" xfId="0" applyNumberFormat="1" applyFont="1" applyFill="1" applyBorder="1" applyAlignment="1">
      <alignment horizontal="center"/>
    </xf>
    <xf numFmtId="10" fontId="0" fillId="0" borderId="113" xfId="0" applyNumberFormat="1" applyBorder="1" applyAlignment="1">
      <alignment horizontal="center"/>
    </xf>
    <xf numFmtId="49" fontId="1" fillId="0" borderId="0" xfId="23" applyNumberFormat="1" applyFont="1" applyFill="1" applyBorder="1" applyAlignment="1">
      <alignment horizontal="center" vertical="center"/>
    </xf>
    <xf numFmtId="4" fontId="1" fillId="50" borderId="113" xfId="49" quotePrefix="1" applyNumberFormat="1" applyFont="1" applyFill="1" applyBorder="1" applyAlignment="1">
      <alignment horizontal="right" vertical="center" indent="1" justifyLastLine="1"/>
    </xf>
    <xf numFmtId="0" fontId="1" fillId="50" borderId="113" xfId="49" quotePrefix="1" applyFont="1" applyFill="1" applyBorder="1">
      <alignment horizontal="left" vertical="center" indent="1" justifyLastLine="1"/>
    </xf>
    <xf numFmtId="4" fontId="1" fillId="50" borderId="113" xfId="49" quotePrefix="1" applyNumberFormat="1" applyFont="1" applyFill="1" applyBorder="1" applyAlignment="1">
      <alignment vertical="center" justifyLastLine="1"/>
    </xf>
    <xf numFmtId="4" fontId="1" fillId="50" borderId="114" xfId="49" quotePrefix="1" applyNumberFormat="1" applyFont="1" applyFill="1" applyBorder="1" applyAlignment="1">
      <alignment vertical="center" justifyLastLine="1"/>
    </xf>
    <xf numFmtId="49" fontId="15" fillId="0" borderId="100" xfId="23" applyNumberFormat="1" applyFont="1" applyFill="1" applyBorder="1" applyAlignment="1">
      <alignment horizontal="center" vertical="center"/>
    </xf>
    <xf numFmtId="49" fontId="1" fillId="0" borderId="100" xfId="23" applyNumberFormat="1" applyFont="1" applyFill="1" applyBorder="1" applyAlignment="1">
      <alignment horizontal="center" vertical="center"/>
    </xf>
    <xf numFmtId="4" fontId="1" fillId="0" borderId="98" xfId="23" applyFont="1" applyFill="1" applyBorder="1">
      <alignment vertical="center"/>
    </xf>
    <xf numFmtId="10" fontId="0" fillId="0" borderId="17" xfId="0" applyNumberFormat="1" applyBorder="1" applyAlignment="1">
      <alignment horizontal="center"/>
    </xf>
    <xf numFmtId="4" fontId="15" fillId="0" borderId="113" xfId="23" applyFont="1" applyFill="1" applyBorder="1">
      <alignment vertical="center"/>
    </xf>
    <xf numFmtId="4" fontId="1" fillId="0" borderId="113" xfId="23" applyFont="1" applyFill="1" applyBorder="1">
      <alignment vertical="center"/>
    </xf>
    <xf numFmtId="4" fontId="1" fillId="0" borderId="17" xfId="23" applyFont="1" applyFill="1" applyBorder="1">
      <alignment vertical="center"/>
    </xf>
    <xf numFmtId="4" fontId="1" fillId="0" borderId="0" xfId="57" applyFont="1" applyBorder="1">
      <alignment horizontal="right" vertical="center"/>
    </xf>
    <xf numFmtId="10" fontId="0" fillId="0" borderId="8" xfId="0" applyNumberFormat="1" applyBorder="1" applyAlignment="1">
      <alignment horizontal="center"/>
    </xf>
    <xf numFmtId="0" fontId="36" fillId="48" borderId="100" xfId="27" quotePrefix="1" applyNumberFormat="1" applyFont="1" applyFill="1" applyBorder="1" applyAlignment="1">
      <alignment horizontal="center" vertical="center" wrapText="1"/>
    </xf>
    <xf numFmtId="0" fontId="16" fillId="48" borderId="8" xfId="27" applyNumberFormat="1" applyFont="1" applyFill="1" applyBorder="1" applyAlignment="1">
      <alignment horizontal="center" vertical="center" wrapText="1"/>
    </xf>
    <xf numFmtId="10" fontId="48" fillId="48" borderId="8" xfId="0" applyNumberFormat="1" applyFont="1" applyFill="1" applyBorder="1" applyAlignment="1">
      <alignment horizontal="center"/>
    </xf>
    <xf numFmtId="10" fontId="48" fillId="46" borderId="8" xfId="0" applyNumberFormat="1" applyFont="1" applyFill="1" applyBorder="1" applyAlignment="1">
      <alignment horizontal="center"/>
    </xf>
    <xf numFmtId="4" fontId="18" fillId="48" borderId="8" xfId="23" applyFont="1" applyFill="1" applyBorder="1">
      <alignment vertical="center"/>
    </xf>
    <xf numFmtId="10" fontId="48" fillId="52" borderId="8" xfId="0" applyNumberFormat="1" applyFont="1" applyFill="1" applyBorder="1" applyAlignment="1">
      <alignment horizontal="center"/>
    </xf>
    <xf numFmtId="4" fontId="1" fillId="0" borderId="8" xfId="23" applyFont="1" applyFill="1" applyBorder="1">
      <alignment vertical="center"/>
    </xf>
    <xf numFmtId="165" fontId="16" fillId="46" borderId="102" xfId="45" quotePrefix="1" applyNumberFormat="1" applyFont="1" applyFill="1" applyBorder="1" applyAlignment="1">
      <alignment vertical="center" justifyLastLine="1"/>
    </xf>
    <xf numFmtId="165" fontId="16" fillId="46" borderId="103" xfId="45" quotePrefix="1" applyNumberFormat="1" applyFont="1" applyFill="1" applyBorder="1" applyAlignment="1">
      <alignment vertical="center" justifyLastLine="1"/>
    </xf>
    <xf numFmtId="165" fontId="16" fillId="46" borderId="104" xfId="45" quotePrefix="1" applyNumberFormat="1" applyFont="1" applyFill="1" applyBorder="1" applyAlignment="1">
      <alignment vertical="center" justifyLastLine="1"/>
    </xf>
    <xf numFmtId="165" fontId="16" fillId="46" borderId="59" xfId="45" quotePrefix="1" applyNumberFormat="1" applyFont="1" applyFill="1" applyBorder="1" applyAlignment="1">
      <alignment vertical="center" justifyLastLine="1"/>
    </xf>
    <xf numFmtId="165" fontId="16" fillId="46" borderId="0" xfId="45" quotePrefix="1" applyNumberFormat="1" applyFont="1" applyFill="1" applyBorder="1" applyAlignment="1">
      <alignment vertical="center" justifyLastLine="1"/>
    </xf>
    <xf numFmtId="165" fontId="16" fillId="46" borderId="105" xfId="45" quotePrefix="1" applyNumberFormat="1" applyFont="1" applyFill="1" applyBorder="1" applyAlignment="1">
      <alignment vertical="center" justifyLastLine="1"/>
    </xf>
    <xf numFmtId="165" fontId="16" fillId="46" borderId="112" xfId="45" quotePrefix="1" applyNumberFormat="1" applyFont="1" applyFill="1" applyBorder="1" applyAlignment="1">
      <alignment vertical="center" justifyLastLine="1"/>
    </xf>
    <xf numFmtId="165" fontId="16" fillId="46" borderId="96" xfId="45" quotePrefix="1" applyNumberFormat="1" applyFont="1" applyFill="1" applyBorder="1" applyAlignment="1">
      <alignment vertical="center" justifyLastLine="1"/>
    </xf>
    <xf numFmtId="165" fontId="16" fillId="46" borderId="116" xfId="45" quotePrefix="1" applyNumberFormat="1" applyFont="1" applyFill="1" applyBorder="1" applyAlignment="1">
      <alignment vertical="center" justifyLastLine="1"/>
    </xf>
    <xf numFmtId="0" fontId="48" fillId="0" borderId="0" xfId="0" applyFont="1" applyAlignment="1">
      <alignment horizontal="center"/>
    </xf>
    <xf numFmtId="164" fontId="48" fillId="0" borderId="0" xfId="0" applyNumberFormat="1" applyFont="1" applyAlignment="1">
      <alignment horizontal="center"/>
    </xf>
    <xf numFmtId="0" fontId="48" fillId="54" borderId="90" xfId="0" applyFont="1" applyFill="1" applyBorder="1" applyAlignment="1">
      <alignment horizontal="center" wrapText="1"/>
    </xf>
    <xf numFmtId="0" fontId="48" fillId="54" borderId="90" xfId="0" applyFont="1" applyFill="1" applyBorder="1"/>
    <xf numFmtId="0" fontId="0" fillId="55" borderId="90" xfId="0" applyFill="1" applyBorder="1"/>
    <xf numFmtId="164" fontId="48" fillId="55" borderId="91" xfId="65" applyFont="1" applyFill="1" applyBorder="1"/>
    <xf numFmtId="164" fontId="48" fillId="55" borderId="86" xfId="65" applyFont="1" applyFill="1" applyBorder="1"/>
    <xf numFmtId="0" fontId="48" fillId="55" borderId="95" xfId="0" applyFont="1" applyFill="1" applyBorder="1"/>
    <xf numFmtId="164" fontId="48" fillId="55" borderId="93" xfId="65" applyFont="1" applyFill="1" applyBorder="1"/>
    <xf numFmtId="164" fontId="48" fillId="55" borderId="94" xfId="65" applyFont="1" applyFill="1" applyBorder="1"/>
    <xf numFmtId="0" fontId="0" fillId="0" borderId="117" xfId="0" applyBorder="1"/>
    <xf numFmtId="0" fontId="0" fillId="0" borderId="79" xfId="0" applyBorder="1"/>
    <xf numFmtId="164" fontId="0" fillId="0" borderId="80" xfId="65" applyFont="1" applyBorder="1"/>
    <xf numFmtId="0" fontId="0" fillId="55" borderId="93" xfId="0" applyFill="1" applyBorder="1"/>
    <xf numFmtId="0" fontId="0" fillId="55" borderId="91" xfId="0" applyFill="1" applyBorder="1"/>
    <xf numFmtId="0" fontId="48" fillId="0" borderId="0" xfId="0" applyFont="1"/>
    <xf numFmtId="0" fontId="48" fillId="0" borderId="0" xfId="0" applyFont="1" applyAlignment="1">
      <alignment horizontal="center"/>
    </xf>
    <xf numFmtId="0" fontId="0" fillId="0" borderId="0" xfId="0" applyFill="1"/>
    <xf numFmtId="0" fontId="2" fillId="0" borderId="0" xfId="49" quotePrefix="1" applyFill="1" applyBorder="1" applyAlignment="1">
      <alignment horizontal="center" vertical="center" justifyLastLine="1"/>
    </xf>
    <xf numFmtId="0" fontId="2" fillId="0" borderId="0" xfId="49" quotePrefix="1" applyFill="1" applyBorder="1">
      <alignment horizontal="left" vertical="center" indent="1" justifyLastLine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55" borderId="91" xfId="0" applyFont="1" applyFill="1" applyBorder="1"/>
    <xf numFmtId="0" fontId="48" fillId="55" borderId="93" xfId="0" applyFont="1" applyFill="1" applyBorder="1"/>
    <xf numFmtId="0" fontId="0" fillId="0" borderId="131" xfId="0" applyBorder="1"/>
    <xf numFmtId="164" fontId="0" fillId="0" borderId="131" xfId="65" applyFont="1" applyBorder="1"/>
    <xf numFmtId="0" fontId="0" fillId="0" borderId="132" xfId="0" applyBorder="1"/>
    <xf numFmtId="164" fontId="0" fillId="0" borderId="133" xfId="65" applyFont="1" applyBorder="1"/>
    <xf numFmtId="0" fontId="0" fillId="55" borderId="131" xfId="0" applyFill="1" applyBorder="1"/>
    <xf numFmtId="164" fontId="48" fillId="55" borderId="131" xfId="65" applyFont="1" applyFill="1" applyBorder="1"/>
    <xf numFmtId="164" fontId="43" fillId="0" borderId="131" xfId="65" applyBorder="1"/>
    <xf numFmtId="164" fontId="0" fillId="0" borderId="131" xfId="65" applyFont="1" applyBorder="1" applyAlignment="1">
      <alignment horizontal="right"/>
    </xf>
    <xf numFmtId="164" fontId="0" fillId="0" borderId="133" xfId="65" applyFont="1" applyBorder="1" applyAlignment="1">
      <alignment horizontal="right"/>
    </xf>
    <xf numFmtId="0" fontId="0" fillId="0" borderId="135" xfId="0" applyBorder="1"/>
    <xf numFmtId="164" fontId="0" fillId="0" borderId="135" xfId="65" applyFont="1" applyBorder="1"/>
    <xf numFmtId="164" fontId="0" fillId="0" borderId="136" xfId="65" applyFont="1" applyBorder="1"/>
    <xf numFmtId="164" fontId="43" fillId="0" borderId="133" xfId="65" applyBorder="1"/>
    <xf numFmtId="164" fontId="43" fillId="0" borderId="135" xfId="65" applyBorder="1"/>
    <xf numFmtId="164" fontId="43" fillId="0" borderId="136" xfId="65" applyBorder="1"/>
    <xf numFmtId="164" fontId="43" fillId="0" borderId="79" xfId="65" applyBorder="1"/>
    <xf numFmtId="164" fontId="43" fillId="0" borderId="80" xfId="65" applyBorder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0" fillId="54" borderId="90" xfId="0" applyFill="1" applyBorder="1" applyAlignment="1">
      <alignment horizontal="center"/>
    </xf>
    <xf numFmtId="0" fontId="0" fillId="54" borderId="95" xfId="0" applyFill="1" applyBorder="1" applyAlignment="1">
      <alignment horizontal="center"/>
    </xf>
    <xf numFmtId="0" fontId="0" fillId="0" borderId="131" xfId="0" applyFill="1" applyBorder="1"/>
    <xf numFmtId="164" fontId="0" fillId="0" borderId="131" xfId="65" applyFont="1" applyFill="1" applyBorder="1"/>
    <xf numFmtId="164" fontId="0" fillId="0" borderId="133" xfId="65" applyFont="1" applyFill="1" applyBorder="1"/>
    <xf numFmtId="164" fontId="43" fillId="0" borderId="133" xfId="65" applyFont="1" applyBorder="1"/>
    <xf numFmtId="0" fontId="0" fillId="0" borderId="6" xfId="0" applyBorder="1"/>
    <xf numFmtId="0" fontId="0" fillId="0" borderId="137" xfId="0" applyBorder="1"/>
    <xf numFmtId="164" fontId="0" fillId="0" borderId="138" xfId="65" applyFont="1" applyBorder="1" applyAlignment="1">
      <alignment horizontal="right"/>
    </xf>
    <xf numFmtId="164" fontId="0" fillId="0" borderId="139" xfId="65" applyFont="1" applyBorder="1" applyAlignment="1">
      <alignment horizontal="right"/>
    </xf>
    <xf numFmtId="0" fontId="0" fillId="0" borderId="140" xfId="0" applyBorder="1"/>
    <xf numFmtId="164" fontId="43" fillId="0" borderId="138" xfId="65" applyBorder="1"/>
    <xf numFmtId="164" fontId="43" fillId="0" borderId="139" xfId="65" applyBorder="1"/>
    <xf numFmtId="0" fontId="0" fillId="0" borderId="138" xfId="0" applyBorder="1"/>
    <xf numFmtId="164" fontId="0" fillId="0" borderId="138" xfId="65" applyFont="1" applyBorder="1"/>
    <xf numFmtId="164" fontId="0" fillId="0" borderId="139" xfId="65" applyFont="1" applyBorder="1"/>
    <xf numFmtId="164" fontId="48" fillId="55" borderId="133" xfId="65" applyFont="1" applyFill="1" applyBorder="1"/>
    <xf numFmtId="4" fontId="47" fillId="46" borderId="131" xfId="23" applyFont="1" applyFill="1" applyBorder="1">
      <alignment vertical="center"/>
    </xf>
    <xf numFmtId="0" fontId="51" fillId="0" borderId="131" xfId="49" quotePrefix="1" applyFont="1" applyFill="1" applyBorder="1">
      <alignment horizontal="left" vertical="center" indent="1" justifyLastLine="1"/>
    </xf>
    <xf numFmtId="4" fontId="35" fillId="0" borderId="131" xfId="57" applyFont="1" applyBorder="1">
      <alignment horizontal="right" vertical="center"/>
    </xf>
    <xf numFmtId="0" fontId="19" fillId="0" borderId="131" xfId="0" quotePrefix="1" applyFont="1" applyFill="1" applyBorder="1" applyAlignment="1">
      <alignment horizontal="center"/>
    </xf>
    <xf numFmtId="4" fontId="19" fillId="0" borderId="131" xfId="0" applyNumberFormat="1" applyFont="1" applyFill="1" applyBorder="1" applyAlignment="1">
      <alignment horizontal="right"/>
    </xf>
    <xf numFmtId="0" fontId="19" fillId="0" borderId="131" xfId="0" applyFont="1" applyFill="1" applyBorder="1" applyAlignment="1">
      <alignment horizontal="center"/>
    </xf>
    <xf numFmtId="0" fontId="35" fillId="0" borderId="131" xfId="0" applyFont="1" applyFill="1" applyBorder="1" applyAlignment="1">
      <alignment horizontal="center"/>
    </xf>
    <xf numFmtId="0" fontId="35" fillId="0" borderId="131" xfId="0" quotePrefix="1" applyFont="1" applyFill="1" applyBorder="1" applyAlignment="1">
      <alignment horizontal="center"/>
    </xf>
    <xf numFmtId="4" fontId="35" fillId="0" borderId="131" xfId="0" applyNumberFormat="1" applyFont="1" applyFill="1" applyBorder="1" applyAlignment="1">
      <alignment horizontal="right"/>
    </xf>
    <xf numFmtId="0" fontId="19" fillId="0" borderId="131" xfId="0" quotePrefix="1" applyFont="1" applyBorder="1" applyAlignment="1">
      <alignment horizontal="center"/>
    </xf>
    <xf numFmtId="4" fontId="19" fillId="0" borderId="131" xfId="0" applyNumberFormat="1" applyFont="1" applyBorder="1" applyAlignment="1">
      <alignment horizontal="right"/>
    </xf>
    <xf numFmtId="0" fontId="19" fillId="0" borderId="131" xfId="0" applyFont="1" applyBorder="1" applyAlignment="1">
      <alignment horizontal="center"/>
    </xf>
    <xf numFmtId="0" fontId="35" fillId="0" borderId="131" xfId="0" quotePrefix="1" applyFont="1" applyBorder="1" applyAlignment="1">
      <alignment horizontal="center"/>
    </xf>
    <xf numFmtId="4" fontId="35" fillId="0" borderId="131" xfId="0" applyNumberFormat="1" applyFont="1" applyBorder="1" applyAlignment="1">
      <alignment horizontal="right"/>
    </xf>
    <xf numFmtId="0" fontId="35" fillId="0" borderId="131" xfId="0" applyFont="1" applyBorder="1" applyAlignment="1">
      <alignment horizontal="center"/>
    </xf>
    <xf numFmtId="0" fontId="35" fillId="0" borderId="131" xfId="0" applyFont="1" applyBorder="1"/>
    <xf numFmtId="4" fontId="19" fillId="0" borderId="131" xfId="0" applyNumberFormat="1" applyFont="1" applyBorder="1"/>
    <xf numFmtId="4" fontId="51" fillId="0" borderId="131" xfId="0" applyNumberFormat="1" applyFont="1" applyBorder="1"/>
    <xf numFmtId="0" fontId="36" fillId="48" borderId="64" xfId="27" quotePrefix="1" applyNumberFormat="1" applyFont="1" applyFill="1" applyBorder="1" applyAlignment="1">
      <alignment horizontal="center" vertical="center" wrapText="1"/>
    </xf>
    <xf numFmtId="0" fontId="36" fillId="48" borderId="65" xfId="27" quotePrefix="1" applyNumberFormat="1" applyFont="1" applyFill="1" applyBorder="1" applyAlignment="1">
      <alignment horizontal="center" vertical="center" wrapText="1"/>
    </xf>
    <xf numFmtId="4" fontId="47" fillId="46" borderId="133" xfId="23" applyFont="1" applyFill="1" applyBorder="1">
      <alignment vertical="center"/>
    </xf>
    <xf numFmtId="0" fontId="51" fillId="0" borderId="132" xfId="49" quotePrefix="1" applyFont="1" applyFill="1" applyBorder="1" applyAlignment="1">
      <alignment horizontal="center" vertical="center" justifyLastLine="1"/>
    </xf>
    <xf numFmtId="4" fontId="35" fillId="0" borderId="133" xfId="57" applyFont="1" applyBorder="1">
      <alignment horizontal="right" vertical="center"/>
    </xf>
    <xf numFmtId="4" fontId="19" fillId="0" borderId="133" xfId="0" applyNumberFormat="1" applyFont="1" applyFill="1" applyBorder="1" applyAlignment="1">
      <alignment horizontal="right"/>
    </xf>
    <xf numFmtId="0" fontId="35" fillId="0" borderId="132" xfId="0" applyFont="1" applyFill="1" applyBorder="1" applyAlignment="1">
      <alignment horizontal="center"/>
    </xf>
    <xf numFmtId="4" fontId="35" fillId="0" borderId="133" xfId="0" applyNumberFormat="1" applyFont="1" applyFill="1" applyBorder="1" applyAlignment="1">
      <alignment horizontal="right"/>
    </xf>
    <xf numFmtId="4" fontId="19" fillId="0" borderId="133" xfId="0" applyNumberFormat="1" applyFont="1" applyBorder="1" applyAlignment="1">
      <alignment horizontal="right"/>
    </xf>
    <xf numFmtId="4" fontId="35" fillId="0" borderId="133" xfId="0" applyNumberFormat="1" applyFont="1" applyBorder="1" applyAlignment="1">
      <alignment horizontal="right"/>
    </xf>
    <xf numFmtId="0" fontId="35" fillId="0" borderId="132" xfId="0" applyFont="1" applyBorder="1" applyAlignment="1">
      <alignment horizontal="center"/>
    </xf>
    <xf numFmtId="4" fontId="19" fillId="0" borderId="133" xfId="0" applyNumberFormat="1" applyFont="1" applyBorder="1"/>
    <xf numFmtId="4" fontId="51" fillId="0" borderId="133" xfId="0" applyNumberFormat="1" applyFont="1" applyBorder="1"/>
    <xf numFmtId="4" fontId="35" fillId="50" borderId="131" xfId="49" quotePrefix="1" applyNumberFormat="1" applyFont="1" applyFill="1" applyBorder="1" applyAlignment="1">
      <alignment vertical="center" justifyLastLine="1"/>
    </xf>
    <xf numFmtId="4" fontId="35" fillId="50" borderId="133" xfId="49" quotePrefix="1" applyNumberFormat="1" applyFont="1" applyFill="1" applyBorder="1" applyAlignment="1">
      <alignment vertical="center" justifyLastLine="1"/>
    </xf>
    <xf numFmtId="4" fontId="55" fillId="52" borderId="131" xfId="47" quotePrefix="1" applyNumberFormat="1" applyFont="1" applyFill="1" applyBorder="1" applyAlignment="1">
      <alignment vertical="center" justifyLastLine="1"/>
    </xf>
    <xf numFmtId="4" fontId="55" fillId="52" borderId="133" xfId="47" quotePrefix="1" applyNumberFormat="1" applyFont="1" applyFill="1" applyBorder="1" applyAlignment="1">
      <alignment vertical="center" justifyLastLine="1"/>
    </xf>
    <xf numFmtId="165" fontId="36" fillId="48" borderId="63" xfId="45" quotePrefix="1" applyNumberFormat="1" applyFont="1" applyFill="1" applyBorder="1" applyAlignment="1">
      <alignment vertical="center" justifyLastLine="1"/>
    </xf>
    <xf numFmtId="0" fontId="36" fillId="48" borderId="64" xfId="45" quotePrefix="1" applyFont="1" applyFill="1" applyBorder="1" applyAlignment="1">
      <alignment vertical="center" justifyLastLine="1"/>
    </xf>
    <xf numFmtId="165" fontId="36" fillId="48" borderId="132" xfId="45" applyNumberFormat="1" applyFont="1" applyFill="1" applyBorder="1" applyAlignment="1">
      <alignment vertical="center" justifyLastLine="1"/>
    </xf>
    <xf numFmtId="4" fontId="36" fillId="48" borderId="131" xfId="23" applyFont="1" applyFill="1" applyBorder="1">
      <alignment vertical="center"/>
    </xf>
    <xf numFmtId="4" fontId="36" fillId="48" borderId="133" xfId="23" applyFont="1" applyFill="1" applyBorder="1">
      <alignment vertical="center"/>
    </xf>
    <xf numFmtId="4" fontId="36" fillId="46" borderId="131" xfId="23" applyFont="1" applyFill="1" applyBorder="1">
      <alignment vertical="center"/>
    </xf>
    <xf numFmtId="3" fontId="36" fillId="46" borderId="131" xfId="23" applyNumberFormat="1" applyFont="1" applyFill="1" applyBorder="1" applyAlignment="1">
      <alignment horizontal="center" vertical="center"/>
    </xf>
    <xf numFmtId="4" fontId="36" fillId="46" borderId="133" xfId="23" applyFont="1" applyFill="1" applyBorder="1">
      <alignment vertical="center"/>
    </xf>
    <xf numFmtId="49" fontId="36" fillId="46" borderId="131" xfId="23" applyNumberFormat="1" applyFont="1" applyFill="1" applyBorder="1" applyAlignment="1">
      <alignment horizontal="center" vertical="center"/>
    </xf>
    <xf numFmtId="4" fontId="38" fillId="48" borderId="131" xfId="23" applyFont="1" applyFill="1" applyBorder="1">
      <alignment vertical="center"/>
    </xf>
    <xf numFmtId="4" fontId="38" fillId="48" borderId="133" xfId="23" applyFont="1" applyFill="1" applyBorder="1">
      <alignment vertical="center"/>
    </xf>
    <xf numFmtId="165" fontId="19" fillId="52" borderId="132" xfId="47" quotePrefix="1" applyNumberFormat="1" applyFont="1" applyFill="1" applyBorder="1" applyAlignment="1">
      <alignment horizontal="center" vertical="center" justifyLastLine="1"/>
    </xf>
    <xf numFmtId="0" fontId="19" fillId="52" borderId="131" xfId="47" quotePrefix="1" applyFont="1" applyFill="1" applyBorder="1">
      <alignment horizontal="left" vertical="center" indent="1" justifyLastLine="1"/>
    </xf>
    <xf numFmtId="49" fontId="19" fillId="52" borderId="131" xfId="23" applyNumberFormat="1" applyFont="1" applyFill="1" applyBorder="1" applyAlignment="1">
      <alignment horizontal="center" vertical="center"/>
    </xf>
    <xf numFmtId="4" fontId="19" fillId="52" borderId="131" xfId="23" applyFont="1" applyFill="1" applyBorder="1">
      <alignment vertical="center"/>
    </xf>
    <xf numFmtId="4" fontId="19" fillId="52" borderId="133" xfId="23" applyFont="1" applyFill="1" applyBorder="1">
      <alignment vertical="center"/>
    </xf>
    <xf numFmtId="0" fontId="19" fillId="56" borderId="132" xfId="47" quotePrefix="1" applyNumberFormat="1" applyFont="1" applyFill="1" applyBorder="1" applyAlignment="1">
      <alignment horizontal="center" vertical="center" justifyLastLine="1"/>
    </xf>
    <xf numFmtId="0" fontId="19" fillId="56" borderId="131" xfId="47" quotePrefix="1" applyFont="1" applyFill="1" applyBorder="1">
      <alignment horizontal="left" vertical="center" indent="1" justifyLastLine="1"/>
    </xf>
    <xf numFmtId="49" fontId="19" fillId="56" borderId="131" xfId="23" applyNumberFormat="1" applyFont="1" applyFill="1" applyBorder="1" applyAlignment="1">
      <alignment horizontal="center" vertical="center"/>
    </xf>
    <xf numFmtId="4" fontId="19" fillId="56" borderId="131" xfId="23" applyFont="1" applyFill="1" applyBorder="1">
      <alignment vertical="center"/>
    </xf>
    <xf numFmtId="3" fontId="19" fillId="56" borderId="131" xfId="23" applyNumberFormat="1" applyFont="1" applyFill="1" applyBorder="1" applyAlignment="1">
      <alignment horizontal="center" vertical="center"/>
    </xf>
    <xf numFmtId="4" fontId="19" fillId="56" borderId="133" xfId="23" applyFont="1" applyFill="1" applyBorder="1">
      <alignment vertical="center"/>
    </xf>
    <xf numFmtId="0" fontId="19" fillId="0" borderId="132" xfId="49" quotePrefix="1" applyNumberFormat="1" applyFont="1" applyFill="1" applyBorder="1" applyAlignment="1">
      <alignment horizontal="center" vertical="center" justifyLastLine="1"/>
    </xf>
    <xf numFmtId="0" fontId="19" fillId="0" borderId="131" xfId="49" quotePrefix="1" applyFont="1" applyFill="1" applyBorder="1">
      <alignment horizontal="left" vertical="center" indent="1" justifyLastLine="1"/>
    </xf>
    <xf numFmtId="49" fontId="35" fillId="0" borderId="131" xfId="23" applyNumberFormat="1" applyFont="1" applyFill="1" applyBorder="1" applyAlignment="1">
      <alignment horizontal="center" vertical="center"/>
    </xf>
    <xf numFmtId="4" fontId="19" fillId="0" borderId="131" xfId="23" applyFont="1" applyFill="1" applyBorder="1">
      <alignment vertical="center"/>
    </xf>
    <xf numFmtId="49" fontId="51" fillId="0" borderId="131" xfId="57" applyNumberFormat="1" applyFont="1" applyBorder="1" applyAlignment="1">
      <alignment horizontal="center" vertical="center"/>
    </xf>
    <xf numFmtId="4" fontId="19" fillId="0" borderId="133" xfId="23" applyFont="1" applyFill="1" applyBorder="1">
      <alignment vertical="center"/>
    </xf>
    <xf numFmtId="0" fontId="51" fillId="0" borderId="132" xfId="49" quotePrefix="1" applyNumberFormat="1" applyFont="1" applyFill="1" applyBorder="1" applyAlignment="1">
      <alignment horizontal="center" vertical="center" justifyLastLine="1"/>
    </xf>
    <xf numFmtId="49" fontId="19" fillId="0" borderId="131" xfId="23" applyNumberFormat="1" applyFont="1" applyFill="1" applyBorder="1" applyAlignment="1">
      <alignment horizontal="center" vertical="center"/>
    </xf>
    <xf numFmtId="49" fontId="19" fillId="0" borderId="131" xfId="57" applyNumberFormat="1" applyFont="1" applyBorder="1" applyAlignment="1">
      <alignment horizontal="center" vertical="center"/>
    </xf>
    <xf numFmtId="0" fontId="51" fillId="0" borderId="131" xfId="49" applyFont="1" applyFill="1" applyBorder="1">
      <alignment horizontal="left" vertical="center" indent="1" justifyLastLine="1"/>
    </xf>
    <xf numFmtId="1" fontId="19" fillId="0" borderId="131" xfId="23" applyNumberFormat="1" applyFont="1" applyFill="1" applyBorder="1" applyAlignment="1">
      <alignment horizontal="center" vertical="center"/>
    </xf>
    <xf numFmtId="165" fontId="19" fillId="56" borderId="132" xfId="47" quotePrefix="1" applyNumberFormat="1" applyFont="1" applyFill="1" applyBorder="1" applyAlignment="1">
      <alignment horizontal="center" vertical="center" justifyLastLine="1"/>
    </xf>
    <xf numFmtId="49" fontId="19" fillId="56" borderId="131" xfId="23" quotePrefix="1" applyNumberFormat="1" applyFont="1" applyFill="1" applyBorder="1" applyAlignment="1">
      <alignment horizontal="center" vertical="center"/>
    </xf>
    <xf numFmtId="4" fontId="19" fillId="56" borderId="131" xfId="57" applyFont="1" applyFill="1" applyBorder="1">
      <alignment horizontal="right" vertical="center"/>
    </xf>
    <xf numFmtId="49" fontId="19" fillId="56" borderId="131" xfId="57" applyNumberFormat="1" applyFont="1" applyFill="1" applyBorder="1" applyAlignment="1">
      <alignment horizontal="center" vertical="center"/>
    </xf>
    <xf numFmtId="4" fontId="19" fillId="56" borderId="133" xfId="57" applyFont="1" applyFill="1" applyBorder="1">
      <alignment horizontal="right" vertical="center"/>
    </xf>
    <xf numFmtId="0" fontId="19" fillId="0" borderId="132" xfId="49" quotePrefix="1" applyFont="1" applyFill="1" applyBorder="1" applyAlignment="1">
      <alignment horizontal="center" vertical="center" justifyLastLine="1"/>
    </xf>
    <xf numFmtId="4" fontId="19" fillId="0" borderId="131" xfId="57" applyFont="1" applyBorder="1">
      <alignment horizontal="right" vertical="center"/>
    </xf>
    <xf numFmtId="4" fontId="19" fillId="0" borderId="133" xfId="57" applyFont="1" applyBorder="1">
      <alignment horizontal="right" vertical="center"/>
    </xf>
    <xf numFmtId="4" fontId="35" fillId="0" borderId="131" xfId="23" applyFont="1" applyFill="1" applyBorder="1">
      <alignment vertical="center"/>
    </xf>
    <xf numFmtId="4" fontId="35" fillId="0" borderId="133" xfId="23" applyFont="1" applyFill="1" applyBorder="1">
      <alignment vertical="center"/>
    </xf>
    <xf numFmtId="0" fontId="35" fillId="0" borderId="132" xfId="49" quotePrefix="1" applyNumberFormat="1" applyFont="1" applyFill="1" applyBorder="1" applyAlignment="1">
      <alignment horizontal="center" vertical="center" justifyLastLine="1"/>
    </xf>
    <xf numFmtId="0" fontId="35" fillId="0" borderId="131" xfId="49" quotePrefix="1" applyFont="1" applyFill="1" applyBorder="1">
      <alignment horizontal="left" vertical="center" indent="1" justifyLastLine="1"/>
    </xf>
    <xf numFmtId="0" fontId="19" fillId="56" borderId="132" xfId="49" quotePrefix="1" applyNumberFormat="1" applyFont="1" applyFill="1" applyBorder="1" applyAlignment="1">
      <alignment horizontal="center" vertical="center" justifyLastLine="1"/>
    </xf>
    <xf numFmtId="0" fontId="19" fillId="56" borderId="131" xfId="49" quotePrefix="1" applyFont="1" applyFill="1" applyBorder="1">
      <alignment horizontal="left" vertical="center" indent="1" justifyLastLine="1"/>
    </xf>
    <xf numFmtId="0" fontId="19" fillId="0" borderId="131" xfId="49" applyFont="1" applyFill="1" applyBorder="1">
      <alignment horizontal="left" vertical="center" indent="1" justifyLastLine="1"/>
    </xf>
    <xf numFmtId="49" fontId="35" fillId="0" borderId="131" xfId="57" applyNumberFormat="1" applyFont="1" applyBorder="1" applyAlignment="1">
      <alignment horizontal="center" vertical="center"/>
    </xf>
    <xf numFmtId="3" fontId="19" fillId="0" borderId="131" xfId="57" applyNumberFormat="1" applyFont="1" applyBorder="1" applyAlignment="1">
      <alignment horizontal="center" vertical="center"/>
    </xf>
    <xf numFmtId="0" fontId="35" fillId="0" borderId="132" xfId="49" quotePrefix="1" applyFont="1" applyFill="1" applyBorder="1" applyAlignment="1">
      <alignment horizontal="center" vertical="center" justifyLastLine="1"/>
    </xf>
    <xf numFmtId="4" fontId="35" fillId="0" borderId="131" xfId="57" applyFont="1" applyFill="1" applyBorder="1">
      <alignment horizontal="right" vertical="center"/>
    </xf>
    <xf numFmtId="49" fontId="51" fillId="0" borderId="131" xfId="57" applyNumberFormat="1" applyFont="1" applyFill="1" applyBorder="1" applyAlignment="1">
      <alignment horizontal="center" vertical="center"/>
    </xf>
    <xf numFmtId="4" fontId="35" fillId="0" borderId="133" xfId="57" applyFont="1" applyFill="1" applyBorder="1">
      <alignment horizontal="right" vertical="center"/>
    </xf>
    <xf numFmtId="4" fontId="35" fillId="50" borderId="131" xfId="57" applyFont="1" applyFill="1" applyBorder="1">
      <alignment horizontal="right" vertical="center"/>
    </xf>
    <xf numFmtId="4" fontId="35" fillId="50" borderId="133" xfId="57" applyFont="1" applyFill="1" applyBorder="1">
      <alignment horizontal="right" vertical="center"/>
    </xf>
    <xf numFmtId="4" fontId="19" fillId="50" borderId="131" xfId="57" applyFont="1" applyFill="1" applyBorder="1">
      <alignment horizontal="right" vertical="center"/>
    </xf>
    <xf numFmtId="4" fontId="19" fillId="50" borderId="133" xfId="57" applyFont="1" applyFill="1" applyBorder="1">
      <alignment horizontal="right" vertical="center"/>
    </xf>
    <xf numFmtId="0" fontId="19" fillId="0" borderId="131" xfId="57" applyNumberFormat="1" applyFont="1" applyBorder="1" applyAlignment="1">
      <alignment horizontal="center" vertical="center"/>
    </xf>
    <xf numFmtId="1" fontId="19" fillId="0" borderId="131" xfId="57" applyNumberFormat="1" applyFont="1" applyBorder="1" applyAlignment="1">
      <alignment horizontal="center" vertical="center"/>
    </xf>
    <xf numFmtId="3" fontId="19" fillId="0" borderId="131" xfId="23" applyNumberFormat="1" applyFont="1" applyFill="1" applyBorder="1" applyAlignment="1">
      <alignment horizontal="center" vertical="center"/>
    </xf>
    <xf numFmtId="4" fontId="35" fillId="0" borderId="131" xfId="23" applyFont="1" applyFill="1" applyBorder="1" applyAlignment="1">
      <alignment horizontal="center" vertical="center"/>
    </xf>
    <xf numFmtId="4" fontId="35" fillId="0" borderId="131" xfId="0" applyNumberFormat="1" applyFont="1" applyBorder="1"/>
    <xf numFmtId="4" fontId="35" fillId="0" borderId="133" xfId="0" applyNumberFormat="1" applyFont="1" applyBorder="1"/>
    <xf numFmtId="165" fontId="55" fillId="52" borderId="132" xfId="47" quotePrefix="1" applyNumberFormat="1" applyFont="1" applyFill="1" applyBorder="1" applyAlignment="1">
      <alignment horizontal="center" vertical="center" justifyLastLine="1"/>
    </xf>
    <xf numFmtId="0" fontId="55" fillId="52" borderId="131" xfId="47" quotePrefix="1" applyFont="1" applyFill="1" applyBorder="1">
      <alignment horizontal="left" vertical="center" indent="1" justifyLastLine="1"/>
    </xf>
    <xf numFmtId="0" fontId="19" fillId="56" borderId="132" xfId="49" quotePrefix="1" applyFont="1" applyFill="1" applyBorder="1" applyAlignment="1">
      <alignment horizontal="center" vertical="center" justifyLastLine="1"/>
    </xf>
    <xf numFmtId="4" fontId="19" fillId="56" borderId="131" xfId="47" quotePrefix="1" applyNumberFormat="1" applyFont="1" applyFill="1" applyBorder="1" applyAlignment="1">
      <alignment vertical="center" justifyLastLine="1"/>
    </xf>
    <xf numFmtId="4" fontId="19" fillId="56" borderId="133" xfId="47" quotePrefix="1" applyNumberFormat="1" applyFont="1" applyFill="1" applyBorder="1" applyAlignment="1">
      <alignment vertical="center" justifyLastLine="1"/>
    </xf>
    <xf numFmtId="0" fontId="19" fillId="52" borderId="131" xfId="47" applyFont="1" applyFill="1" applyBorder="1" applyAlignment="1">
      <alignment horizontal="left" vertical="center" indent="1"/>
    </xf>
    <xf numFmtId="4" fontId="55" fillId="0" borderId="131" xfId="57" applyFont="1" applyBorder="1" applyAlignment="1">
      <alignment horizontal="center" vertical="center"/>
    </xf>
    <xf numFmtId="4" fontId="35" fillId="0" borderId="131" xfId="125" applyFont="1" applyBorder="1">
      <alignment horizontal="right" vertical="center"/>
    </xf>
    <xf numFmtId="4" fontId="35" fillId="0" borderId="133" xfId="125" applyFont="1" applyBorder="1">
      <alignment horizontal="right" vertical="center"/>
    </xf>
    <xf numFmtId="4" fontId="19" fillId="0" borderId="131" xfId="57" applyFont="1" applyFill="1" applyBorder="1">
      <alignment horizontal="right" vertical="center"/>
    </xf>
    <xf numFmtId="4" fontId="19" fillId="0" borderId="133" xfId="57" applyFont="1" applyFill="1" applyBorder="1">
      <alignment horizontal="right" vertical="center"/>
    </xf>
    <xf numFmtId="49" fontId="55" fillId="0" borderId="131" xfId="57" applyNumberFormat="1" applyFont="1" applyBorder="1" applyAlignment="1">
      <alignment horizontal="center" vertical="center"/>
    </xf>
    <xf numFmtId="0" fontId="19" fillId="50" borderId="132" xfId="49" quotePrefix="1" applyFont="1" applyFill="1" applyBorder="1" applyAlignment="1">
      <alignment horizontal="center" vertical="center" justifyLastLine="1"/>
    </xf>
    <xf numFmtId="0" fontId="19" fillId="50" borderId="131" xfId="49" quotePrefix="1" applyFont="1" applyFill="1" applyBorder="1">
      <alignment horizontal="left" vertical="center" indent="1" justifyLastLine="1"/>
    </xf>
    <xf numFmtId="49" fontId="19" fillId="50" borderId="131" xfId="23" applyNumberFormat="1" applyFont="1" applyFill="1" applyBorder="1" applyAlignment="1">
      <alignment horizontal="center" vertical="center"/>
    </xf>
    <xf numFmtId="4" fontId="19" fillId="0" borderId="131" xfId="23" applyFont="1" applyFill="1" applyBorder="1" applyAlignment="1">
      <alignment horizontal="right" vertical="center"/>
    </xf>
    <xf numFmtId="4" fontId="19" fillId="0" borderId="133" xfId="23" applyFont="1" applyFill="1" applyBorder="1" applyAlignment="1">
      <alignment horizontal="right" vertical="center"/>
    </xf>
    <xf numFmtId="0" fontId="19" fillId="50" borderId="132" xfId="49" quotePrefix="1" applyNumberFormat="1" applyFont="1" applyFill="1" applyBorder="1" applyAlignment="1">
      <alignment horizontal="center" vertical="center" justifyLastLine="1"/>
    </xf>
    <xf numFmtId="0" fontId="35" fillId="50" borderId="132" xfId="49" quotePrefix="1" applyNumberFormat="1" applyFont="1" applyFill="1" applyBorder="1" applyAlignment="1">
      <alignment horizontal="center" vertical="center" justifyLastLine="1"/>
    </xf>
    <xf numFmtId="0" fontId="35" fillId="50" borderId="131" xfId="49" quotePrefix="1" applyFont="1" applyFill="1" applyBorder="1">
      <alignment horizontal="left" vertical="center" indent="1" justifyLastLine="1"/>
    </xf>
    <xf numFmtId="49" fontId="35" fillId="50" borderId="131" xfId="23" applyNumberFormat="1" applyFont="1" applyFill="1" applyBorder="1" applyAlignment="1">
      <alignment horizontal="center" vertical="center"/>
    </xf>
    <xf numFmtId="4" fontId="35" fillId="0" borderId="131" xfId="23" applyFont="1" applyFill="1" applyBorder="1" applyAlignment="1">
      <alignment horizontal="right" vertical="center"/>
    </xf>
    <xf numFmtId="4" fontId="35" fillId="0" borderId="133" xfId="23" applyFont="1" applyFill="1" applyBorder="1" applyAlignment="1">
      <alignment horizontal="right" vertical="center"/>
    </xf>
    <xf numFmtId="4" fontId="19" fillId="56" borderId="131" xfId="49" quotePrefix="1" applyNumberFormat="1" applyFont="1" applyFill="1" applyBorder="1" applyAlignment="1">
      <alignment vertical="center" justifyLastLine="1"/>
    </xf>
    <xf numFmtId="4" fontId="19" fillId="56" borderId="133" xfId="49" quotePrefix="1" applyNumberFormat="1" applyFont="1" applyFill="1" applyBorder="1" applyAlignment="1">
      <alignment vertical="center" justifyLastLine="1"/>
    </xf>
    <xf numFmtId="4" fontId="19" fillId="0" borderId="131" xfId="49" quotePrefix="1" applyNumberFormat="1" applyFont="1" applyFill="1" applyBorder="1" applyAlignment="1">
      <alignment vertical="center" justifyLastLine="1"/>
    </xf>
    <xf numFmtId="4" fontId="19" fillId="0" borderId="133" xfId="49" quotePrefix="1" applyNumberFormat="1" applyFont="1" applyFill="1" applyBorder="1" applyAlignment="1">
      <alignment vertical="center" justifyLastLine="1"/>
    </xf>
    <xf numFmtId="4" fontId="35" fillId="0" borderId="131" xfId="49" quotePrefix="1" applyNumberFormat="1" applyFont="1" applyFill="1" applyBorder="1" applyAlignment="1">
      <alignment vertical="center" justifyLastLine="1"/>
    </xf>
    <xf numFmtId="4" fontId="35" fillId="0" borderId="133" xfId="49" quotePrefix="1" applyNumberFormat="1" applyFont="1" applyFill="1" applyBorder="1" applyAlignment="1">
      <alignment vertical="center" justifyLastLine="1"/>
    </xf>
    <xf numFmtId="4" fontId="55" fillId="56" borderId="131" xfId="47" quotePrefix="1" applyNumberFormat="1" applyFont="1" applyFill="1" applyBorder="1" applyAlignment="1">
      <alignment vertical="center" justifyLastLine="1"/>
    </xf>
    <xf numFmtId="4" fontId="55" fillId="56" borderId="133" xfId="47" quotePrefix="1" applyNumberFormat="1" applyFont="1" applyFill="1" applyBorder="1" applyAlignment="1">
      <alignment vertical="center" justifyLastLine="1"/>
    </xf>
    <xf numFmtId="4" fontId="19" fillId="50" borderId="131" xfId="49" quotePrefix="1" applyNumberFormat="1" applyFont="1" applyFill="1" applyBorder="1" applyAlignment="1">
      <alignment vertical="center" justifyLastLine="1"/>
    </xf>
    <xf numFmtId="4" fontId="19" fillId="50" borderId="133" xfId="49" quotePrefix="1" applyNumberFormat="1" applyFont="1" applyFill="1" applyBorder="1" applyAlignment="1">
      <alignment vertical="center" justifyLastLine="1"/>
    </xf>
    <xf numFmtId="4" fontId="19" fillId="50" borderId="131" xfId="47" quotePrefix="1" applyNumberFormat="1" applyFont="1" applyFill="1" applyBorder="1" applyAlignment="1">
      <alignment vertical="center" justifyLastLine="1"/>
    </xf>
    <xf numFmtId="0" fontId="19" fillId="50" borderId="131" xfId="47" quotePrefix="1" applyFont="1" applyFill="1" applyBorder="1">
      <alignment horizontal="left" vertical="center" indent="1" justifyLastLine="1"/>
    </xf>
    <xf numFmtId="4" fontId="19" fillId="50" borderId="133" xfId="47" quotePrefix="1" applyNumberFormat="1" applyFont="1" applyFill="1" applyBorder="1" applyAlignment="1">
      <alignment vertical="center" justifyLastLine="1"/>
    </xf>
    <xf numFmtId="165" fontId="19" fillId="0" borderId="131" xfId="49" quotePrefix="1" applyNumberFormat="1" applyFont="1" applyFill="1" applyBorder="1" applyAlignment="1">
      <alignment horizontal="center" vertical="center" justifyLastLine="1"/>
    </xf>
    <xf numFmtId="0" fontId="35" fillId="50" borderId="132" xfId="49" quotePrefix="1" applyFont="1" applyFill="1" applyBorder="1" applyAlignment="1">
      <alignment horizontal="center" vertical="center" justifyLastLine="1"/>
    </xf>
    <xf numFmtId="0" fontId="51" fillId="0" borderId="134" xfId="49" quotePrefix="1" applyNumberFormat="1" applyFont="1" applyFill="1" applyBorder="1" applyAlignment="1">
      <alignment horizontal="center" vertical="center" justifyLastLine="1"/>
    </xf>
    <xf numFmtId="0" fontId="51" fillId="0" borderId="135" xfId="49" quotePrefix="1" applyFont="1" applyFill="1" applyBorder="1">
      <alignment horizontal="left" vertical="center" indent="1" justifyLastLine="1"/>
    </xf>
    <xf numFmtId="49" fontId="35" fillId="0" borderId="135" xfId="23" applyNumberFormat="1" applyFont="1" applyFill="1" applyBorder="1" applyAlignment="1">
      <alignment horizontal="center" vertical="center"/>
    </xf>
    <xf numFmtId="4" fontId="35" fillId="0" borderId="135" xfId="23" applyFont="1" applyFill="1" applyBorder="1">
      <alignment vertical="center"/>
    </xf>
    <xf numFmtId="4" fontId="35" fillId="0" borderId="136" xfId="23" applyFont="1" applyFill="1" applyBorder="1">
      <alignment vertical="center"/>
    </xf>
    <xf numFmtId="49" fontId="56" fillId="47" borderId="138" xfId="23" applyNumberFormat="1" applyFont="1" applyFill="1" applyBorder="1" applyAlignment="1">
      <alignment horizontal="center" vertical="center"/>
    </xf>
    <xf numFmtId="4" fontId="56" fillId="47" borderId="138" xfId="23" applyFont="1" applyFill="1" applyBorder="1">
      <alignment vertical="center"/>
    </xf>
    <xf numFmtId="4" fontId="56" fillId="47" borderId="139" xfId="23" applyFont="1" applyFill="1" applyBorder="1">
      <alignment vertical="center"/>
    </xf>
    <xf numFmtId="49" fontId="36" fillId="46" borderId="88" xfId="23" applyNumberFormat="1" applyFont="1" applyFill="1" applyBorder="1" applyAlignment="1">
      <alignment horizontal="center" vertical="center"/>
    </xf>
    <xf numFmtId="4" fontId="36" fillId="46" borderId="88" xfId="23" applyFont="1" applyFill="1" applyBorder="1">
      <alignment vertical="center"/>
    </xf>
    <xf numFmtId="4" fontId="36" fillId="46" borderId="89" xfId="23" applyFont="1" applyFill="1" applyBorder="1">
      <alignment vertical="center"/>
    </xf>
    <xf numFmtId="49" fontId="47" fillId="46" borderId="63" xfId="23" applyNumberFormat="1" applyFont="1" applyFill="1" applyBorder="1" applyAlignment="1">
      <alignment horizontal="center" vertical="center"/>
    </xf>
    <xf numFmtId="4" fontId="47" fillId="46" borderId="64" xfId="23" applyFont="1" applyFill="1" applyBorder="1">
      <alignment vertical="center"/>
    </xf>
    <xf numFmtId="4" fontId="47" fillId="46" borderId="65" xfId="23" applyFont="1" applyFill="1" applyBorder="1">
      <alignment vertical="center"/>
    </xf>
    <xf numFmtId="49" fontId="47" fillId="46" borderId="132" xfId="23" applyNumberFormat="1" applyFont="1" applyFill="1" applyBorder="1" applyAlignment="1">
      <alignment horizontal="center" vertical="center"/>
    </xf>
    <xf numFmtId="49" fontId="47" fillId="46" borderId="134" xfId="23" applyNumberFormat="1" applyFont="1" applyFill="1" applyBorder="1" applyAlignment="1">
      <alignment horizontal="center" vertical="center"/>
    </xf>
    <xf numFmtId="4" fontId="47" fillId="46" borderId="135" xfId="23" applyFont="1" applyFill="1" applyBorder="1">
      <alignment vertical="center"/>
    </xf>
    <xf numFmtId="4" fontId="47" fillId="46" borderId="136" xfId="23" applyFont="1" applyFill="1" applyBorder="1">
      <alignment vertical="center"/>
    </xf>
    <xf numFmtId="0" fontId="0" fillId="0" borderId="6" xfId="0" applyFill="1" applyBorder="1"/>
    <xf numFmtId="0" fontId="48" fillId="55" borderId="90" xfId="0" applyFont="1" applyFill="1" applyBorder="1"/>
    <xf numFmtId="0" fontId="0" fillId="0" borderId="95" xfId="0" applyBorder="1"/>
    <xf numFmtId="0" fontId="0" fillId="55" borderId="95" xfId="0" applyFill="1" applyBorder="1"/>
    <xf numFmtId="0" fontId="0" fillId="0" borderId="144" xfId="0" applyBorder="1"/>
    <xf numFmtId="0" fontId="0" fillId="55" borderId="6" xfId="0" applyFill="1" applyBorder="1"/>
    <xf numFmtId="0" fontId="48" fillId="55" borderId="84" xfId="0" applyFont="1" applyFill="1" applyBorder="1" applyAlignment="1">
      <alignment wrapText="1"/>
    </xf>
    <xf numFmtId="0" fontId="31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23" fillId="0" borderId="28" xfId="0" applyFont="1" applyBorder="1" applyAlignment="1">
      <alignment horizontal="center" vertical="center" wrapText="1"/>
    </xf>
    <xf numFmtId="0" fontId="38" fillId="48" borderId="54" xfId="0" applyFont="1" applyFill="1" applyBorder="1" applyAlignment="1">
      <alignment horizontal="left" vertical="center" wrapText="1"/>
    </xf>
    <xf numFmtId="0" fontId="38" fillId="48" borderId="55" xfId="0" applyFont="1" applyFill="1" applyBorder="1" applyAlignment="1">
      <alignment horizontal="left" vertical="center" wrapText="1"/>
    </xf>
    <xf numFmtId="0" fontId="38" fillId="48" borderId="56" xfId="0" applyFont="1" applyFill="1" applyBorder="1" applyAlignment="1">
      <alignment horizontal="left" vertical="center" wrapText="1"/>
    </xf>
    <xf numFmtId="0" fontId="38" fillId="48" borderId="26" xfId="0" applyFont="1" applyFill="1" applyBorder="1" applyAlignment="1">
      <alignment horizontal="left" vertical="center" wrapText="1"/>
    </xf>
    <xf numFmtId="0" fontId="38" fillId="48" borderId="0" xfId="0" applyFont="1" applyFill="1" applyAlignment="1">
      <alignment horizontal="left" vertical="center" wrapText="1"/>
    </xf>
    <xf numFmtId="0" fontId="35" fillId="48" borderId="27" xfId="0" applyFont="1" applyFill="1" applyBorder="1" applyAlignment="1">
      <alignment vertical="center" wrapText="1"/>
    </xf>
    <xf numFmtId="0" fontId="16" fillId="48" borderId="41" xfId="45" quotePrefix="1" applyFont="1" applyFill="1" applyBorder="1" applyAlignment="1">
      <alignment horizontal="center" vertical="center" wrapText="1" justifyLastLine="1"/>
    </xf>
    <xf numFmtId="0" fontId="16" fillId="48" borderId="42" xfId="45" quotePrefix="1" applyFont="1" applyFill="1" applyBorder="1" applyAlignment="1">
      <alignment horizontal="center" vertical="center" wrapText="1" justifyLastLine="1"/>
    </xf>
    <xf numFmtId="165" fontId="16" fillId="46" borderId="24" xfId="45" quotePrefix="1" applyNumberFormat="1" applyFont="1" applyFill="1" applyBorder="1" applyAlignment="1">
      <alignment horizontal="center" vertical="center" justifyLastLine="1"/>
    </xf>
    <xf numFmtId="165" fontId="16" fillId="46" borderId="29" xfId="45" quotePrefix="1" applyNumberFormat="1" applyFont="1" applyFill="1" applyBorder="1" applyAlignment="1">
      <alignment horizontal="center" vertical="center" justifyLastLine="1"/>
    </xf>
    <xf numFmtId="165" fontId="16" fillId="46" borderId="0" xfId="45" quotePrefix="1" applyNumberFormat="1" applyFont="1" applyFill="1" applyBorder="1" applyAlignment="1">
      <alignment horizontal="center" vertical="center" justifyLastLine="1"/>
    </xf>
    <xf numFmtId="165" fontId="16" fillId="46" borderId="27" xfId="45" quotePrefix="1" applyNumberFormat="1" applyFont="1" applyFill="1" applyBorder="1" applyAlignment="1">
      <alignment horizontal="center" vertical="center" justifyLastLine="1"/>
    </xf>
    <xf numFmtId="0" fontId="38" fillId="48" borderId="12" xfId="0" applyFont="1" applyFill="1" applyBorder="1" applyAlignment="1">
      <alignment horizontal="left" vertical="center" wrapText="1"/>
    </xf>
    <xf numFmtId="0" fontId="38" fillId="48" borderId="14" xfId="0" applyFont="1" applyFill="1" applyBorder="1" applyAlignment="1">
      <alignment horizontal="left" vertical="center" wrapText="1"/>
    </xf>
    <xf numFmtId="0" fontId="35" fillId="48" borderId="13" xfId="0" applyFont="1" applyFill="1" applyBorder="1" applyAlignment="1">
      <alignment wrapText="1"/>
    </xf>
    <xf numFmtId="0" fontId="38" fillId="48" borderId="26" xfId="0" applyFont="1" applyFill="1" applyBorder="1" applyAlignment="1">
      <alignment horizontal="left" vertical="center"/>
    </xf>
    <xf numFmtId="0" fontId="38" fillId="48" borderId="0" xfId="0" applyFont="1" applyFill="1" applyAlignment="1">
      <alignment horizontal="left" vertical="center"/>
    </xf>
    <xf numFmtId="0" fontId="35" fillId="48" borderId="27" xfId="0" applyFont="1" applyFill="1" applyBorder="1" applyAlignment="1">
      <alignment vertical="center"/>
    </xf>
    <xf numFmtId="165" fontId="16" fillId="48" borderId="9" xfId="45" quotePrefix="1" applyNumberFormat="1" applyFont="1" applyFill="1" applyBorder="1" applyAlignment="1">
      <alignment horizontal="left" vertical="center"/>
    </xf>
    <xf numFmtId="165" fontId="16" fillId="48" borderId="18" xfId="45" quotePrefix="1" applyNumberFormat="1" applyFont="1" applyFill="1" applyBorder="1" applyAlignment="1">
      <alignment horizontal="left" vertical="center"/>
    </xf>
    <xf numFmtId="165" fontId="16" fillId="48" borderId="44" xfId="45" quotePrefix="1" applyNumberFormat="1" applyFont="1" applyFill="1" applyBorder="1" applyAlignment="1">
      <alignment horizontal="left" vertical="center"/>
    </xf>
    <xf numFmtId="165" fontId="16" fillId="48" borderId="39" xfId="45" quotePrefix="1" applyNumberFormat="1" applyFont="1" applyFill="1" applyBorder="1" applyAlignment="1">
      <alignment horizontal="left" vertical="center"/>
    </xf>
    <xf numFmtId="165" fontId="16" fillId="46" borderId="32" xfId="45" quotePrefix="1" applyNumberFormat="1" applyFont="1" applyFill="1" applyBorder="1" applyAlignment="1">
      <alignment horizontal="center" vertical="center" justifyLastLine="1"/>
    </xf>
    <xf numFmtId="165" fontId="16" fillId="46" borderId="33" xfId="45" quotePrefix="1" applyNumberFormat="1" applyFont="1" applyFill="1" applyBorder="1" applyAlignment="1">
      <alignment horizontal="center" vertical="center" justifyLastLine="1"/>
    </xf>
    <xf numFmtId="0" fontId="48" fillId="0" borderId="0" xfId="0" applyFont="1" applyAlignment="1">
      <alignment horizontal="center"/>
    </xf>
    <xf numFmtId="0" fontId="48" fillId="54" borderId="84" xfId="0" applyFont="1" applyFill="1" applyBorder="1" applyAlignment="1">
      <alignment horizontal="center" wrapText="1"/>
    </xf>
    <xf numFmtId="0" fontId="48" fillId="54" borderId="85" xfId="0" applyFont="1" applyFill="1" applyBorder="1" applyAlignment="1">
      <alignment horizontal="center" wrapText="1"/>
    </xf>
    <xf numFmtId="0" fontId="0" fillId="54" borderId="84" xfId="0" applyFill="1" applyBorder="1" applyAlignment="1">
      <alignment horizontal="center" wrapText="1"/>
    </xf>
    <xf numFmtId="0" fontId="0" fillId="54" borderId="85" xfId="0" applyFill="1" applyBorder="1" applyAlignment="1">
      <alignment horizontal="center" wrapText="1"/>
    </xf>
    <xf numFmtId="0" fontId="48" fillId="54" borderId="70" xfId="0" applyFont="1" applyFill="1" applyBorder="1" applyAlignment="1">
      <alignment horizontal="center" vertical="center" wrapText="1"/>
    </xf>
    <xf numFmtId="0" fontId="48" fillId="54" borderId="73" xfId="0" applyFont="1" applyFill="1" applyBorder="1" applyAlignment="1">
      <alignment horizontal="center" vertical="center" wrapText="1"/>
    </xf>
    <xf numFmtId="0" fontId="48" fillId="54" borderId="69" xfId="0" quotePrefix="1" applyFont="1" applyFill="1" applyBorder="1" applyAlignment="1">
      <alignment horizontal="center" vertical="center" wrapText="1"/>
    </xf>
    <xf numFmtId="0" fontId="48" fillId="54" borderId="68" xfId="0" quotePrefix="1" applyFont="1" applyFill="1" applyBorder="1" applyAlignment="1">
      <alignment horizontal="center" vertical="center" wrapText="1"/>
    </xf>
    <xf numFmtId="0" fontId="0" fillId="54" borderId="90" xfId="0" applyFill="1" applyBorder="1" applyAlignment="1">
      <alignment horizontal="center"/>
    </xf>
    <xf numFmtId="0" fontId="0" fillId="54" borderId="95" xfId="0" applyFill="1" applyBorder="1" applyAlignment="1">
      <alignment horizontal="center"/>
    </xf>
    <xf numFmtId="0" fontId="16" fillId="48" borderId="50" xfId="45" applyFont="1" applyFill="1" applyBorder="1" applyAlignment="1">
      <alignment horizontal="center" vertical="center" wrapText="1" justifyLastLine="1"/>
    </xf>
    <xf numFmtId="0" fontId="16" fillId="48" borderId="50" xfId="45" quotePrefix="1" applyFont="1" applyFill="1" applyBorder="1" applyAlignment="1">
      <alignment horizontal="center" vertical="center" wrapText="1" justifyLastLine="1"/>
    </xf>
    <xf numFmtId="165" fontId="16" fillId="46" borderId="50" xfId="45" quotePrefix="1" applyNumberFormat="1" applyFont="1" applyFill="1" applyBorder="1" applyAlignment="1">
      <alignment horizontal="center" vertical="center" justifyLastLine="1"/>
    </xf>
    <xf numFmtId="0" fontId="39" fillId="48" borderId="50" xfId="0" applyFont="1" applyFill="1" applyBorder="1" applyAlignment="1">
      <alignment horizontal="left" vertical="center" wrapText="1"/>
    </xf>
    <xf numFmtId="0" fontId="40" fillId="48" borderId="50" xfId="0" applyFont="1" applyFill="1" applyBorder="1" applyAlignment="1">
      <alignment vertical="center" wrapText="1"/>
    </xf>
    <xf numFmtId="0" fontId="48" fillId="0" borderId="96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36" fillId="48" borderId="131" xfId="45" applyFont="1" applyFill="1" applyBorder="1" applyAlignment="1">
      <alignment horizontal="center" vertical="center" wrapText="1" justifyLastLine="1"/>
    </xf>
    <xf numFmtId="0" fontId="36" fillId="48" borderId="131" xfId="45" quotePrefix="1" applyFont="1" applyFill="1" applyBorder="1" applyAlignment="1">
      <alignment horizontal="center" vertical="center" wrapText="1" justifyLastLine="1"/>
    </xf>
    <xf numFmtId="0" fontId="39" fillId="48" borderId="132" xfId="0" applyFont="1" applyFill="1" applyBorder="1" applyAlignment="1">
      <alignment horizontal="left" vertical="center" wrapText="1"/>
    </xf>
    <xf numFmtId="0" fontId="39" fillId="48" borderId="131" xfId="0" applyFont="1" applyFill="1" applyBorder="1" applyAlignment="1">
      <alignment horizontal="left" vertical="center" wrapText="1"/>
    </xf>
    <xf numFmtId="0" fontId="40" fillId="48" borderId="131" xfId="0" applyFont="1" applyFill="1" applyBorder="1" applyAlignment="1">
      <alignment vertical="center" wrapText="1"/>
    </xf>
    <xf numFmtId="165" fontId="36" fillId="46" borderId="141" xfId="45" quotePrefix="1" applyNumberFormat="1" applyFont="1" applyFill="1" applyBorder="1" applyAlignment="1">
      <alignment horizontal="center" vertical="center" justifyLastLine="1"/>
    </xf>
    <xf numFmtId="165" fontId="36" fillId="46" borderId="142" xfId="45" quotePrefix="1" applyNumberFormat="1" applyFont="1" applyFill="1" applyBorder="1" applyAlignment="1">
      <alignment horizontal="center" vertical="center" justifyLastLine="1"/>
    </xf>
    <xf numFmtId="165" fontId="36" fillId="46" borderId="137" xfId="45" quotePrefix="1" applyNumberFormat="1" applyFont="1" applyFill="1" applyBorder="1" applyAlignment="1">
      <alignment horizontal="center" vertical="center" justifyLastLine="1"/>
    </xf>
    <xf numFmtId="165" fontId="36" fillId="46" borderId="67" xfId="45" quotePrefix="1" applyNumberFormat="1" applyFont="1" applyFill="1" applyBorder="1" applyAlignment="1">
      <alignment horizontal="center" vertical="center" justifyLastLine="1"/>
    </xf>
    <xf numFmtId="165" fontId="36" fillId="46" borderId="0" xfId="45" quotePrefix="1" applyNumberFormat="1" applyFont="1" applyFill="1" applyBorder="1" applyAlignment="1">
      <alignment horizontal="center" vertical="center" justifyLastLine="1"/>
    </xf>
    <xf numFmtId="165" fontId="36" fillId="46" borderId="61" xfId="45" quotePrefix="1" applyNumberFormat="1" applyFont="1" applyFill="1" applyBorder="1" applyAlignment="1">
      <alignment horizontal="center" vertical="center" justifyLastLine="1"/>
    </xf>
    <xf numFmtId="165" fontId="36" fillId="46" borderId="143" xfId="45" quotePrefix="1" applyNumberFormat="1" applyFont="1" applyFill="1" applyBorder="1" applyAlignment="1">
      <alignment horizontal="center" vertical="center" justifyLastLine="1"/>
    </xf>
    <xf numFmtId="165" fontId="36" fillId="46" borderId="28" xfId="45" quotePrefix="1" applyNumberFormat="1" applyFont="1" applyFill="1" applyBorder="1" applyAlignment="1">
      <alignment horizontal="center" vertical="center" justifyLastLine="1"/>
    </xf>
    <xf numFmtId="165" fontId="36" fillId="46" borderId="62" xfId="45" quotePrefix="1" applyNumberFormat="1" applyFont="1" applyFill="1" applyBorder="1" applyAlignment="1">
      <alignment horizontal="center" vertical="center" justifyLastLine="1"/>
    </xf>
    <xf numFmtId="0" fontId="48" fillId="0" borderId="84" xfId="0" applyFont="1" applyBorder="1" applyAlignment="1">
      <alignment horizontal="center"/>
    </xf>
    <xf numFmtId="0" fontId="48" fillId="0" borderId="92" xfId="0" applyFont="1" applyBorder="1" applyAlignment="1">
      <alignment horizontal="center"/>
    </xf>
    <xf numFmtId="0" fontId="48" fillId="0" borderId="85" xfId="0" applyFont="1" applyBorder="1" applyAlignment="1">
      <alignment horizontal="center"/>
    </xf>
    <xf numFmtId="0" fontId="48" fillId="54" borderId="67" xfId="0" quotePrefix="1" applyFont="1" applyFill="1" applyBorder="1" applyAlignment="1">
      <alignment horizontal="center" vertical="center" wrapText="1"/>
    </xf>
    <xf numFmtId="0" fontId="48" fillId="54" borderId="0" xfId="0" applyFont="1" applyFill="1" applyBorder="1" applyAlignment="1">
      <alignment horizontal="center" vertical="center" wrapText="1"/>
    </xf>
    <xf numFmtId="0" fontId="16" fillId="48" borderId="46" xfId="45" applyFont="1" applyFill="1" applyBorder="1" applyAlignment="1">
      <alignment horizontal="center" vertical="center" wrapText="1" justifyLastLine="1"/>
    </xf>
    <xf numFmtId="0" fontId="16" fillId="48" borderId="47" xfId="45" quotePrefix="1" applyFont="1" applyFill="1" applyBorder="1" applyAlignment="1">
      <alignment horizontal="center" vertical="center" wrapText="1" justifyLastLine="1"/>
    </xf>
    <xf numFmtId="0" fontId="45" fillId="48" borderId="51" xfId="0" applyFont="1" applyFill="1" applyBorder="1" applyAlignment="1">
      <alignment horizontal="left" vertical="center" wrapText="1"/>
    </xf>
    <xf numFmtId="0" fontId="45" fillId="48" borderId="32" xfId="0" applyFont="1" applyFill="1" applyBorder="1" applyAlignment="1">
      <alignment horizontal="left" vertical="center" wrapText="1"/>
    </xf>
    <xf numFmtId="0" fontId="45" fillId="48" borderId="33" xfId="0" applyFont="1" applyFill="1" applyBorder="1" applyAlignment="1">
      <alignment horizontal="left" vertical="center" wrapText="1"/>
    </xf>
  </cellXfs>
  <cellStyles count="220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Comma" xfId="65" builtinId="3"/>
    <cellStyle name="Comma 2" xfId="108" xr:uid="{00000000-0005-0000-0000-000012000000}"/>
    <cellStyle name="Emphasis 1" xfId="20" xr:uid="{00000000-0005-0000-0000-000013000000}"/>
    <cellStyle name="Emphasis 2" xfId="21" xr:uid="{00000000-0005-0000-0000-000014000000}"/>
    <cellStyle name="Emphasis 3" xfId="22" xr:uid="{00000000-0005-0000-0000-000015000000}"/>
    <cellStyle name="Normal" xfId="0" builtinId="0"/>
    <cellStyle name="Normal 2" xfId="1" xr:uid="{00000000-0005-0000-0000-000016000000}"/>
    <cellStyle name="Normal 3" xfId="66" xr:uid="{00000000-0005-0000-0000-000017000000}"/>
    <cellStyle name="Obično_List1" xfId="67" xr:uid="{00000000-0005-0000-0000-000019000000}"/>
    <cellStyle name="SAPBEXaggData" xfId="23" xr:uid="{00000000-0005-0000-0000-00001A000000}"/>
    <cellStyle name="SAPBEXaggData 2" xfId="68" xr:uid="{00000000-0005-0000-0000-00001B000000}"/>
    <cellStyle name="SAPBEXaggData 2 2" xfId="152" xr:uid="{00000000-0005-0000-0000-00001C000000}"/>
    <cellStyle name="SAPBEXaggData 2 3" xfId="120" xr:uid="{00000000-0005-0000-0000-00001D000000}"/>
    <cellStyle name="SAPBEXaggData 3" xfId="149" xr:uid="{00000000-0005-0000-0000-00001E000000}"/>
    <cellStyle name="SAPBEXaggDataEmph" xfId="24" xr:uid="{00000000-0005-0000-0000-00001F000000}"/>
    <cellStyle name="SAPBEXaggDataEmph 2" xfId="69" xr:uid="{00000000-0005-0000-0000-000020000000}"/>
    <cellStyle name="SAPBEXaggDataEmph 2 2" xfId="153" xr:uid="{00000000-0005-0000-0000-000021000000}"/>
    <cellStyle name="SAPBEXaggDataEmph 2 3" xfId="119" xr:uid="{00000000-0005-0000-0000-000022000000}"/>
    <cellStyle name="SAPBEXaggDataEmph 3" xfId="148" xr:uid="{00000000-0005-0000-0000-000023000000}"/>
    <cellStyle name="SAPBEXaggItem" xfId="25" xr:uid="{00000000-0005-0000-0000-000024000000}"/>
    <cellStyle name="SAPBEXaggItem 2" xfId="70" xr:uid="{00000000-0005-0000-0000-000025000000}"/>
    <cellStyle name="SAPBEXaggItem 2 2" xfId="154" xr:uid="{00000000-0005-0000-0000-000026000000}"/>
    <cellStyle name="SAPBEXaggItem 2 3" xfId="118" xr:uid="{00000000-0005-0000-0000-000027000000}"/>
    <cellStyle name="SAPBEXaggItem 3" xfId="171" xr:uid="{00000000-0005-0000-0000-000028000000}"/>
    <cellStyle name="SAPBEXaggItemX" xfId="26" xr:uid="{00000000-0005-0000-0000-000029000000}"/>
    <cellStyle name="SAPBEXaggItemX 2" xfId="71" xr:uid="{00000000-0005-0000-0000-00002A000000}"/>
    <cellStyle name="SAPBEXaggItemX 2 2" xfId="155" xr:uid="{00000000-0005-0000-0000-00002B000000}"/>
    <cellStyle name="SAPBEXaggItemX 2 3" xfId="117" xr:uid="{00000000-0005-0000-0000-00002C000000}"/>
    <cellStyle name="SAPBEXaggItemX 3" xfId="147" xr:uid="{00000000-0005-0000-0000-00002D000000}"/>
    <cellStyle name="SAPBEXchaText" xfId="27" xr:uid="{00000000-0005-0000-0000-00002E000000}"/>
    <cellStyle name="SAPBEXchaText 2" xfId="72" xr:uid="{00000000-0005-0000-0000-00002F000000}"/>
    <cellStyle name="SAPBEXchaText 2 2" xfId="156" xr:uid="{00000000-0005-0000-0000-000030000000}"/>
    <cellStyle name="SAPBEXchaText 2 3" xfId="116" xr:uid="{00000000-0005-0000-0000-000031000000}"/>
    <cellStyle name="SAPBEXchaText 3" xfId="170" xr:uid="{00000000-0005-0000-0000-000032000000}"/>
    <cellStyle name="SAPBEXexcBad7" xfId="28" xr:uid="{00000000-0005-0000-0000-000033000000}"/>
    <cellStyle name="SAPBEXexcBad7 2" xfId="73" xr:uid="{00000000-0005-0000-0000-000034000000}"/>
    <cellStyle name="SAPBEXexcBad7 2 2" xfId="157" xr:uid="{00000000-0005-0000-0000-000035000000}"/>
    <cellStyle name="SAPBEXexcBad7 2 3" xfId="115" xr:uid="{00000000-0005-0000-0000-000036000000}"/>
    <cellStyle name="SAPBEXexcBad7 3" xfId="146" xr:uid="{00000000-0005-0000-0000-000037000000}"/>
    <cellStyle name="SAPBEXexcBad8" xfId="29" xr:uid="{00000000-0005-0000-0000-000038000000}"/>
    <cellStyle name="SAPBEXexcBad8 2" xfId="74" xr:uid="{00000000-0005-0000-0000-000039000000}"/>
    <cellStyle name="SAPBEXexcBad8 2 2" xfId="158" xr:uid="{00000000-0005-0000-0000-00003A000000}"/>
    <cellStyle name="SAPBEXexcBad8 2 3" xfId="114" xr:uid="{00000000-0005-0000-0000-00003B000000}"/>
    <cellStyle name="SAPBEXexcBad8 3" xfId="145" xr:uid="{00000000-0005-0000-0000-00003C000000}"/>
    <cellStyle name="SAPBEXexcBad9" xfId="30" xr:uid="{00000000-0005-0000-0000-00003D000000}"/>
    <cellStyle name="SAPBEXexcBad9 2" xfId="75" xr:uid="{00000000-0005-0000-0000-00003E000000}"/>
    <cellStyle name="SAPBEXexcBad9 2 2" xfId="113" xr:uid="{00000000-0005-0000-0000-00003F000000}"/>
    <cellStyle name="SAPBEXexcBad9 3" xfId="168" xr:uid="{00000000-0005-0000-0000-000040000000}"/>
    <cellStyle name="SAPBEXexcCritical4" xfId="31" xr:uid="{00000000-0005-0000-0000-000041000000}"/>
    <cellStyle name="SAPBEXexcCritical4 2" xfId="76" xr:uid="{00000000-0005-0000-0000-000042000000}"/>
    <cellStyle name="SAPBEXexcCritical4 2 2" xfId="160" xr:uid="{00000000-0005-0000-0000-000043000000}"/>
    <cellStyle name="SAPBEXexcCritical4 2 3" xfId="112" xr:uid="{00000000-0005-0000-0000-000044000000}"/>
    <cellStyle name="SAPBEXexcCritical4 3" xfId="144" xr:uid="{00000000-0005-0000-0000-000045000000}"/>
    <cellStyle name="SAPBEXexcCritical5" xfId="32" xr:uid="{00000000-0005-0000-0000-000046000000}"/>
    <cellStyle name="SAPBEXexcCritical5 2" xfId="77" xr:uid="{00000000-0005-0000-0000-000047000000}"/>
    <cellStyle name="SAPBEXexcCritical5 2 2" xfId="161" xr:uid="{00000000-0005-0000-0000-000048000000}"/>
    <cellStyle name="SAPBEXexcCritical5 2 3" xfId="111" xr:uid="{00000000-0005-0000-0000-000049000000}"/>
    <cellStyle name="SAPBEXexcCritical5 3" xfId="167" xr:uid="{00000000-0005-0000-0000-00004A000000}"/>
    <cellStyle name="SAPBEXexcCritical6" xfId="33" xr:uid="{00000000-0005-0000-0000-00004B000000}"/>
    <cellStyle name="SAPBEXexcCritical6 2" xfId="78" xr:uid="{00000000-0005-0000-0000-00004C000000}"/>
    <cellStyle name="SAPBEXexcCritical6 2 2" xfId="162" xr:uid="{00000000-0005-0000-0000-00004D000000}"/>
    <cellStyle name="SAPBEXexcCritical6 2 3" xfId="190" xr:uid="{00000000-0005-0000-0000-00004E000000}"/>
    <cellStyle name="SAPBEXexcCritical6 3" xfId="143" xr:uid="{00000000-0005-0000-0000-00004F000000}"/>
    <cellStyle name="SAPBEXexcGood1" xfId="34" xr:uid="{00000000-0005-0000-0000-000050000000}"/>
    <cellStyle name="SAPBEXexcGood1 2" xfId="79" xr:uid="{00000000-0005-0000-0000-000051000000}"/>
    <cellStyle name="SAPBEXexcGood1 2 2" xfId="163" xr:uid="{00000000-0005-0000-0000-000052000000}"/>
    <cellStyle name="SAPBEXexcGood1 2 3" xfId="191" xr:uid="{00000000-0005-0000-0000-000053000000}"/>
    <cellStyle name="SAPBEXexcGood1 3" xfId="166" xr:uid="{00000000-0005-0000-0000-000054000000}"/>
    <cellStyle name="SAPBEXexcGood2" xfId="35" xr:uid="{00000000-0005-0000-0000-000055000000}"/>
    <cellStyle name="SAPBEXexcGood2 2" xfId="80" xr:uid="{00000000-0005-0000-0000-000056000000}"/>
    <cellStyle name="SAPBEXexcGood2 2 2" xfId="164" xr:uid="{00000000-0005-0000-0000-000057000000}"/>
    <cellStyle name="SAPBEXexcGood2 2 3" xfId="192" xr:uid="{00000000-0005-0000-0000-000058000000}"/>
    <cellStyle name="SAPBEXexcGood2 3" xfId="142" xr:uid="{00000000-0005-0000-0000-000059000000}"/>
    <cellStyle name="SAPBEXexcGood3" xfId="36" xr:uid="{00000000-0005-0000-0000-00005A000000}"/>
    <cellStyle name="SAPBEXexcGood3 2" xfId="81" xr:uid="{00000000-0005-0000-0000-00005B000000}"/>
    <cellStyle name="SAPBEXexcGood3 2 2" xfId="165" xr:uid="{00000000-0005-0000-0000-00005C000000}"/>
    <cellStyle name="SAPBEXexcGood3 2 3" xfId="193" xr:uid="{00000000-0005-0000-0000-00005D000000}"/>
    <cellStyle name="SAPBEXexcGood3 3" xfId="141" xr:uid="{00000000-0005-0000-0000-00005E000000}"/>
    <cellStyle name="SAPBEXfilterDrill" xfId="37" xr:uid="{00000000-0005-0000-0000-00005F000000}"/>
    <cellStyle name="SAPBEXfilterDrill 2" xfId="82" xr:uid="{00000000-0005-0000-0000-000060000000}"/>
    <cellStyle name="SAPBEXfilterDrill 2 2" xfId="194" xr:uid="{00000000-0005-0000-0000-000061000000}"/>
    <cellStyle name="SAPBEXfilterDrill 3" xfId="140" xr:uid="{00000000-0005-0000-0000-000062000000}"/>
    <cellStyle name="SAPBEXfilterItem" xfId="38" xr:uid="{00000000-0005-0000-0000-000063000000}"/>
    <cellStyle name="SAPBEXfilterItem 2" xfId="83" xr:uid="{00000000-0005-0000-0000-000064000000}"/>
    <cellStyle name="SAPBEXfilterItem 2 2" xfId="195" xr:uid="{00000000-0005-0000-0000-000065000000}"/>
    <cellStyle name="SAPBEXfilterItem 3" xfId="139" xr:uid="{00000000-0005-0000-0000-000066000000}"/>
    <cellStyle name="SAPBEXfilterText" xfId="39" xr:uid="{00000000-0005-0000-0000-000067000000}"/>
    <cellStyle name="SAPBEXfilterText 2" xfId="84" xr:uid="{00000000-0005-0000-0000-000068000000}"/>
    <cellStyle name="SAPBEXfilterText 2 2" xfId="196" xr:uid="{00000000-0005-0000-0000-000069000000}"/>
    <cellStyle name="SAPBEXfilterText 3" xfId="138" xr:uid="{00000000-0005-0000-0000-00006A000000}"/>
    <cellStyle name="SAPBEXformats" xfId="40" xr:uid="{00000000-0005-0000-0000-00006B000000}"/>
    <cellStyle name="SAPBEXformats 2" xfId="85" xr:uid="{00000000-0005-0000-0000-00006C000000}"/>
    <cellStyle name="SAPBEXformats 2 2" xfId="169" xr:uid="{00000000-0005-0000-0000-00006D000000}"/>
    <cellStyle name="SAPBEXformats 2 3" xfId="197" xr:uid="{00000000-0005-0000-0000-00006E000000}"/>
    <cellStyle name="SAPBEXformats 3" xfId="137" xr:uid="{00000000-0005-0000-0000-00006F000000}"/>
    <cellStyle name="SAPBEXheaderItem" xfId="41" xr:uid="{00000000-0005-0000-0000-000070000000}"/>
    <cellStyle name="SAPBEXheaderItem 2" xfId="86" xr:uid="{00000000-0005-0000-0000-000071000000}"/>
    <cellStyle name="SAPBEXheaderItem 2 2" xfId="198" xr:uid="{00000000-0005-0000-0000-000072000000}"/>
    <cellStyle name="SAPBEXheaderItem 3" xfId="136" xr:uid="{00000000-0005-0000-0000-000073000000}"/>
    <cellStyle name="SAPBEXheaderText" xfId="42" xr:uid="{00000000-0005-0000-0000-000074000000}"/>
    <cellStyle name="SAPBEXheaderText 2" xfId="87" xr:uid="{00000000-0005-0000-0000-000075000000}"/>
    <cellStyle name="SAPBEXheaderText 2 2" xfId="199" xr:uid="{00000000-0005-0000-0000-000076000000}"/>
    <cellStyle name="SAPBEXheaderText 3" xfId="159" xr:uid="{00000000-0005-0000-0000-000077000000}"/>
    <cellStyle name="SAPBEXHLevel0" xfId="43" xr:uid="{00000000-0005-0000-0000-000078000000}"/>
    <cellStyle name="SAPBEXHLevel0 2" xfId="88" xr:uid="{00000000-0005-0000-0000-000079000000}"/>
    <cellStyle name="SAPBEXHLevel0 2 2" xfId="172" xr:uid="{00000000-0005-0000-0000-00007A000000}"/>
    <cellStyle name="SAPBEXHLevel0 2 3" xfId="200" xr:uid="{00000000-0005-0000-0000-00007B000000}"/>
    <cellStyle name="SAPBEXHLevel0 3" xfId="135" xr:uid="{00000000-0005-0000-0000-00007C000000}"/>
    <cellStyle name="SAPBEXHLevel0X" xfId="44" xr:uid="{00000000-0005-0000-0000-00007D000000}"/>
    <cellStyle name="SAPBEXHLevel0X 2" xfId="89" xr:uid="{00000000-0005-0000-0000-00007E000000}"/>
    <cellStyle name="SAPBEXHLevel0X 2 2" xfId="173" xr:uid="{00000000-0005-0000-0000-00007F000000}"/>
    <cellStyle name="SAPBEXHLevel0X 2 3" xfId="201" xr:uid="{00000000-0005-0000-0000-000080000000}"/>
    <cellStyle name="SAPBEXHLevel0X 3" xfId="134" xr:uid="{00000000-0005-0000-0000-000081000000}"/>
    <cellStyle name="SAPBEXHLevel1" xfId="45" xr:uid="{00000000-0005-0000-0000-000082000000}"/>
    <cellStyle name="SAPBEXHLevel1 2" xfId="90" xr:uid="{00000000-0005-0000-0000-000083000000}"/>
    <cellStyle name="SAPBEXHLevel1 2 2" xfId="174" xr:uid="{00000000-0005-0000-0000-000084000000}"/>
    <cellStyle name="SAPBEXHLevel1 2 3" xfId="202" xr:uid="{00000000-0005-0000-0000-000085000000}"/>
    <cellStyle name="SAPBEXHLevel1 3" xfId="133" xr:uid="{00000000-0005-0000-0000-000086000000}"/>
    <cellStyle name="SAPBEXHLevel1X" xfId="46" xr:uid="{00000000-0005-0000-0000-000087000000}"/>
    <cellStyle name="SAPBEXHLevel1X 2" xfId="91" xr:uid="{00000000-0005-0000-0000-000088000000}"/>
    <cellStyle name="SAPBEXHLevel1X 2 2" xfId="175" xr:uid="{00000000-0005-0000-0000-000089000000}"/>
    <cellStyle name="SAPBEXHLevel1X 2 3" xfId="203" xr:uid="{00000000-0005-0000-0000-00008A000000}"/>
    <cellStyle name="SAPBEXHLevel1X 3" xfId="132" xr:uid="{00000000-0005-0000-0000-00008B000000}"/>
    <cellStyle name="SAPBEXHLevel2" xfId="47" xr:uid="{00000000-0005-0000-0000-00008C000000}"/>
    <cellStyle name="SAPBEXHLevel2 2" xfId="92" xr:uid="{00000000-0005-0000-0000-00008D000000}"/>
    <cellStyle name="SAPBEXHLevel2 2 2" xfId="176" xr:uid="{00000000-0005-0000-0000-00008E000000}"/>
    <cellStyle name="SAPBEXHLevel2 2 3" xfId="204" xr:uid="{00000000-0005-0000-0000-00008F000000}"/>
    <cellStyle name="SAPBEXHLevel2 3" xfId="131" xr:uid="{00000000-0005-0000-0000-000090000000}"/>
    <cellStyle name="SAPBEXHLevel2X" xfId="48" xr:uid="{00000000-0005-0000-0000-000091000000}"/>
    <cellStyle name="SAPBEXHLevel2X 2" xfId="93" xr:uid="{00000000-0005-0000-0000-000092000000}"/>
    <cellStyle name="SAPBEXHLevel2X 2 2" xfId="177" xr:uid="{00000000-0005-0000-0000-000093000000}"/>
    <cellStyle name="SAPBEXHLevel2X 2 3" xfId="205" xr:uid="{00000000-0005-0000-0000-000094000000}"/>
    <cellStyle name="SAPBEXHLevel2X 3" xfId="130" xr:uid="{00000000-0005-0000-0000-000095000000}"/>
    <cellStyle name="SAPBEXHLevel3" xfId="49" xr:uid="{00000000-0005-0000-0000-000096000000}"/>
    <cellStyle name="SAPBEXHLevel3 2" xfId="94" xr:uid="{00000000-0005-0000-0000-000097000000}"/>
    <cellStyle name="SAPBEXHLevel3 2 2" xfId="178" xr:uid="{00000000-0005-0000-0000-000098000000}"/>
    <cellStyle name="SAPBEXHLevel3 2 3" xfId="206" xr:uid="{00000000-0005-0000-0000-000099000000}"/>
    <cellStyle name="SAPBEXHLevel3 3" xfId="129" xr:uid="{00000000-0005-0000-0000-00009A000000}"/>
    <cellStyle name="SAPBEXHLevel3X" xfId="50" xr:uid="{00000000-0005-0000-0000-00009B000000}"/>
    <cellStyle name="SAPBEXHLevel3X 2" xfId="95" xr:uid="{00000000-0005-0000-0000-00009C000000}"/>
    <cellStyle name="SAPBEXHLevel3X 2 2" xfId="179" xr:uid="{00000000-0005-0000-0000-00009D000000}"/>
    <cellStyle name="SAPBEXHLevel3X 2 3" xfId="207" xr:uid="{00000000-0005-0000-0000-00009E000000}"/>
    <cellStyle name="SAPBEXHLevel3X 3" xfId="128" xr:uid="{00000000-0005-0000-0000-00009F000000}"/>
    <cellStyle name="SAPBEXinputData" xfId="51" xr:uid="{00000000-0005-0000-0000-0000A0000000}"/>
    <cellStyle name="SAPBEXItemHeader" xfId="52" xr:uid="{00000000-0005-0000-0000-0000A1000000}"/>
    <cellStyle name="SAPBEXItemHeader 2" xfId="96" xr:uid="{00000000-0005-0000-0000-0000A2000000}"/>
    <cellStyle name="SAPBEXItemHeader 2 2" xfId="180" xr:uid="{00000000-0005-0000-0000-0000A3000000}"/>
    <cellStyle name="SAPBEXItemHeader 2 3" xfId="208" xr:uid="{00000000-0005-0000-0000-0000A4000000}"/>
    <cellStyle name="SAPBEXItemHeader 3" xfId="151" xr:uid="{00000000-0005-0000-0000-0000A5000000}"/>
    <cellStyle name="SAPBEXresData" xfId="53" xr:uid="{00000000-0005-0000-0000-0000A6000000}"/>
    <cellStyle name="SAPBEXresData 2" xfId="97" xr:uid="{00000000-0005-0000-0000-0000A7000000}"/>
    <cellStyle name="SAPBEXresData 2 2" xfId="181" xr:uid="{00000000-0005-0000-0000-0000A8000000}"/>
    <cellStyle name="SAPBEXresData 2 3" xfId="209" xr:uid="{00000000-0005-0000-0000-0000A9000000}"/>
    <cellStyle name="SAPBEXresData 3" xfId="110" xr:uid="{00000000-0005-0000-0000-0000AA000000}"/>
    <cellStyle name="SAPBEXresDataEmph" xfId="54" xr:uid="{00000000-0005-0000-0000-0000AB000000}"/>
    <cellStyle name="SAPBEXresDataEmph 2" xfId="98" xr:uid="{00000000-0005-0000-0000-0000AC000000}"/>
    <cellStyle name="SAPBEXresDataEmph 2 2" xfId="210" xr:uid="{00000000-0005-0000-0000-0000AD000000}"/>
    <cellStyle name="SAPBEXresDataEmph 3" xfId="109" xr:uid="{00000000-0005-0000-0000-0000AE000000}"/>
    <cellStyle name="SAPBEXresItem" xfId="55" xr:uid="{00000000-0005-0000-0000-0000AF000000}"/>
    <cellStyle name="SAPBEXresItem 2" xfId="99" xr:uid="{00000000-0005-0000-0000-0000B0000000}"/>
    <cellStyle name="SAPBEXresItem 2 2" xfId="182" xr:uid="{00000000-0005-0000-0000-0000B1000000}"/>
    <cellStyle name="SAPBEXresItem 2 3" xfId="211" xr:uid="{00000000-0005-0000-0000-0000B2000000}"/>
    <cellStyle name="SAPBEXresItem 3" xfId="127" xr:uid="{00000000-0005-0000-0000-0000B3000000}"/>
    <cellStyle name="SAPBEXresItemX" xfId="56" xr:uid="{00000000-0005-0000-0000-0000B4000000}"/>
    <cellStyle name="SAPBEXresItemX 2" xfId="100" xr:uid="{00000000-0005-0000-0000-0000B5000000}"/>
    <cellStyle name="SAPBEXresItemX 2 2" xfId="183" xr:uid="{00000000-0005-0000-0000-0000B6000000}"/>
    <cellStyle name="SAPBEXresItemX 2 3" xfId="212" xr:uid="{00000000-0005-0000-0000-0000B7000000}"/>
    <cellStyle name="SAPBEXresItemX 3" xfId="126" xr:uid="{00000000-0005-0000-0000-0000B8000000}"/>
    <cellStyle name="SAPBEXstdData" xfId="57" xr:uid="{00000000-0005-0000-0000-0000B9000000}"/>
    <cellStyle name="SAPBEXstdData 2" xfId="101" xr:uid="{00000000-0005-0000-0000-0000BA000000}"/>
    <cellStyle name="SAPBEXstdData 2 2" xfId="184" xr:uid="{00000000-0005-0000-0000-0000BB000000}"/>
    <cellStyle name="SAPBEXstdData 2 3" xfId="213" xr:uid="{00000000-0005-0000-0000-0000BC000000}"/>
    <cellStyle name="SAPBEXstdData 3" xfId="125" xr:uid="{00000000-0005-0000-0000-0000BD000000}"/>
    <cellStyle name="SAPBEXstdDataEmph" xfId="58" xr:uid="{00000000-0005-0000-0000-0000BE000000}"/>
    <cellStyle name="SAPBEXstdDataEmph 2" xfId="102" xr:uid="{00000000-0005-0000-0000-0000BF000000}"/>
    <cellStyle name="SAPBEXstdDataEmph 2 2" xfId="185" xr:uid="{00000000-0005-0000-0000-0000C0000000}"/>
    <cellStyle name="SAPBEXstdDataEmph 2 3" xfId="214" xr:uid="{00000000-0005-0000-0000-0000C1000000}"/>
    <cellStyle name="SAPBEXstdDataEmph 3" xfId="189" xr:uid="{00000000-0005-0000-0000-0000C2000000}"/>
    <cellStyle name="SAPBEXstdItem" xfId="59" xr:uid="{00000000-0005-0000-0000-0000C3000000}"/>
    <cellStyle name="SAPBEXstdItem 2" xfId="103" xr:uid="{00000000-0005-0000-0000-0000C4000000}"/>
    <cellStyle name="SAPBEXstdItem 2 2" xfId="186" xr:uid="{00000000-0005-0000-0000-0000C5000000}"/>
    <cellStyle name="SAPBEXstdItem 2 3" xfId="215" xr:uid="{00000000-0005-0000-0000-0000C6000000}"/>
    <cellStyle name="SAPBEXstdItem 3" xfId="150" xr:uid="{00000000-0005-0000-0000-0000C7000000}"/>
    <cellStyle name="SAPBEXstdItemX" xfId="60" xr:uid="{00000000-0005-0000-0000-0000C8000000}"/>
    <cellStyle name="SAPBEXstdItemX 2" xfId="104" xr:uid="{00000000-0005-0000-0000-0000C9000000}"/>
    <cellStyle name="SAPBEXstdItemX 2 2" xfId="187" xr:uid="{00000000-0005-0000-0000-0000CA000000}"/>
    <cellStyle name="SAPBEXstdItemX 2 3" xfId="216" xr:uid="{00000000-0005-0000-0000-0000CB000000}"/>
    <cellStyle name="SAPBEXstdItemX 3" xfId="124" xr:uid="{00000000-0005-0000-0000-0000CC000000}"/>
    <cellStyle name="SAPBEXtitle" xfId="61" xr:uid="{00000000-0005-0000-0000-0000CD000000}"/>
    <cellStyle name="SAPBEXtitle 2" xfId="105" xr:uid="{00000000-0005-0000-0000-0000CE000000}"/>
    <cellStyle name="SAPBEXtitle 2 2" xfId="217" xr:uid="{00000000-0005-0000-0000-0000CF000000}"/>
    <cellStyle name="SAPBEXtitle 3" xfId="123" xr:uid="{00000000-0005-0000-0000-0000D0000000}"/>
    <cellStyle name="SAPBEXunassignedItem" xfId="62" xr:uid="{00000000-0005-0000-0000-0000D1000000}"/>
    <cellStyle name="SAPBEXunassignedItem 2" xfId="106" xr:uid="{00000000-0005-0000-0000-0000D2000000}"/>
    <cellStyle name="SAPBEXunassignedItem 2 2" xfId="218" xr:uid="{00000000-0005-0000-0000-0000D3000000}"/>
    <cellStyle name="SAPBEXunassignedItem 3" xfId="122" xr:uid="{00000000-0005-0000-0000-0000D4000000}"/>
    <cellStyle name="SAPBEXundefined" xfId="63" xr:uid="{00000000-0005-0000-0000-0000D5000000}"/>
    <cellStyle name="SAPBEXundefined 2" xfId="107" xr:uid="{00000000-0005-0000-0000-0000D6000000}"/>
    <cellStyle name="SAPBEXundefined 2 2" xfId="188" xr:uid="{00000000-0005-0000-0000-0000D7000000}"/>
    <cellStyle name="SAPBEXundefined 2 3" xfId="219" xr:uid="{00000000-0005-0000-0000-0000D8000000}"/>
    <cellStyle name="SAPBEXundefined 3" xfId="121" xr:uid="{00000000-0005-0000-0000-0000D9000000}"/>
    <cellStyle name="Sheet Title" xfId="64" xr:uid="{00000000-0005-0000-0000-0000DA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comments" Target="../comments2.xml"/><Relationship Id="rId5" Type="http://schemas.openxmlformats.org/officeDocument/2006/relationships/printerSettings" Target="../printerSettings/printerSettings104.bin"/><Relationship Id="rId10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4.bin"/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Relationship Id="rId9" Type="http://schemas.openxmlformats.org/officeDocument/2006/relationships/printerSettings" Target="../printerSettings/printerSettings13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23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opLeftCell="A16" zoomScaleNormal="100" zoomScaleSheetLayoutView="100" workbookViewId="0">
      <selection activeCell="A45" sqref="A45"/>
    </sheetView>
  </sheetViews>
  <sheetFormatPr defaultRowHeight="14.25"/>
  <cols>
    <col min="1" max="1" width="11.140625" style="123" customWidth="1"/>
    <col min="2" max="256" width="9.140625" style="123"/>
    <col min="257" max="257" width="11.140625" style="123" customWidth="1"/>
    <col min="258" max="512" width="9.140625" style="123"/>
    <col min="513" max="513" width="11.140625" style="123" customWidth="1"/>
    <col min="514" max="768" width="9.140625" style="123"/>
    <col min="769" max="769" width="11.140625" style="123" customWidth="1"/>
    <col min="770" max="1024" width="9.140625" style="123"/>
    <col min="1025" max="1025" width="11.140625" style="123" customWidth="1"/>
    <col min="1026" max="1280" width="9.140625" style="123"/>
    <col min="1281" max="1281" width="11.140625" style="123" customWidth="1"/>
    <col min="1282" max="1536" width="9.140625" style="123"/>
    <col min="1537" max="1537" width="11.140625" style="123" customWidth="1"/>
    <col min="1538" max="1792" width="9.140625" style="123"/>
    <col min="1793" max="1793" width="11.140625" style="123" customWidth="1"/>
    <col min="1794" max="2048" width="9.140625" style="123"/>
    <col min="2049" max="2049" width="11.140625" style="123" customWidth="1"/>
    <col min="2050" max="2304" width="9.140625" style="123"/>
    <col min="2305" max="2305" width="11.140625" style="123" customWidth="1"/>
    <col min="2306" max="2560" width="9.140625" style="123"/>
    <col min="2561" max="2561" width="11.140625" style="123" customWidth="1"/>
    <col min="2562" max="2816" width="9.140625" style="123"/>
    <col min="2817" max="2817" width="11.140625" style="123" customWidth="1"/>
    <col min="2818" max="3072" width="9.140625" style="123"/>
    <col min="3073" max="3073" width="11.140625" style="123" customWidth="1"/>
    <col min="3074" max="3328" width="9.140625" style="123"/>
    <col min="3329" max="3329" width="11.140625" style="123" customWidth="1"/>
    <col min="3330" max="3584" width="9.140625" style="123"/>
    <col min="3585" max="3585" width="11.140625" style="123" customWidth="1"/>
    <col min="3586" max="3840" width="9.140625" style="123"/>
    <col min="3841" max="3841" width="11.140625" style="123" customWidth="1"/>
    <col min="3842" max="4096" width="9.140625" style="123"/>
    <col min="4097" max="4097" width="11.140625" style="123" customWidth="1"/>
    <col min="4098" max="4352" width="9.140625" style="123"/>
    <col min="4353" max="4353" width="11.140625" style="123" customWidth="1"/>
    <col min="4354" max="4608" width="9.140625" style="123"/>
    <col min="4609" max="4609" width="11.140625" style="123" customWidth="1"/>
    <col min="4610" max="4864" width="9.140625" style="123"/>
    <col min="4865" max="4865" width="11.140625" style="123" customWidth="1"/>
    <col min="4866" max="5120" width="9.140625" style="123"/>
    <col min="5121" max="5121" width="11.140625" style="123" customWidth="1"/>
    <col min="5122" max="5376" width="9.140625" style="123"/>
    <col min="5377" max="5377" width="11.140625" style="123" customWidth="1"/>
    <col min="5378" max="5632" width="9.140625" style="123"/>
    <col min="5633" max="5633" width="11.140625" style="123" customWidth="1"/>
    <col min="5634" max="5888" width="9.140625" style="123"/>
    <col min="5889" max="5889" width="11.140625" style="123" customWidth="1"/>
    <col min="5890" max="6144" width="9.140625" style="123"/>
    <col min="6145" max="6145" width="11.140625" style="123" customWidth="1"/>
    <col min="6146" max="6400" width="9.140625" style="123"/>
    <col min="6401" max="6401" width="11.140625" style="123" customWidth="1"/>
    <col min="6402" max="6656" width="9.140625" style="123"/>
    <col min="6657" max="6657" width="11.140625" style="123" customWidth="1"/>
    <col min="6658" max="6912" width="9.140625" style="123"/>
    <col min="6913" max="6913" width="11.140625" style="123" customWidth="1"/>
    <col min="6914" max="7168" width="9.140625" style="123"/>
    <col min="7169" max="7169" width="11.140625" style="123" customWidth="1"/>
    <col min="7170" max="7424" width="9.140625" style="123"/>
    <col min="7425" max="7425" width="11.140625" style="123" customWidth="1"/>
    <col min="7426" max="7680" width="9.140625" style="123"/>
    <col min="7681" max="7681" width="11.140625" style="123" customWidth="1"/>
    <col min="7682" max="7936" width="9.140625" style="123"/>
    <col min="7937" max="7937" width="11.140625" style="123" customWidth="1"/>
    <col min="7938" max="8192" width="9.140625" style="123"/>
    <col min="8193" max="8193" width="11.140625" style="123" customWidth="1"/>
    <col min="8194" max="8448" width="9.140625" style="123"/>
    <col min="8449" max="8449" width="11.140625" style="123" customWidth="1"/>
    <col min="8450" max="8704" width="9.140625" style="123"/>
    <col min="8705" max="8705" width="11.140625" style="123" customWidth="1"/>
    <col min="8706" max="8960" width="9.140625" style="123"/>
    <col min="8961" max="8961" width="11.140625" style="123" customWidth="1"/>
    <col min="8962" max="9216" width="9.140625" style="123"/>
    <col min="9217" max="9217" width="11.140625" style="123" customWidth="1"/>
    <col min="9218" max="9472" width="9.140625" style="123"/>
    <col min="9473" max="9473" width="11.140625" style="123" customWidth="1"/>
    <col min="9474" max="9728" width="9.140625" style="123"/>
    <col min="9729" max="9729" width="11.140625" style="123" customWidth="1"/>
    <col min="9730" max="9984" width="9.140625" style="123"/>
    <col min="9985" max="9985" width="11.140625" style="123" customWidth="1"/>
    <col min="9986" max="10240" width="9.140625" style="123"/>
    <col min="10241" max="10241" width="11.140625" style="123" customWidth="1"/>
    <col min="10242" max="10496" width="9.140625" style="123"/>
    <col min="10497" max="10497" width="11.140625" style="123" customWidth="1"/>
    <col min="10498" max="10752" width="9.140625" style="123"/>
    <col min="10753" max="10753" width="11.140625" style="123" customWidth="1"/>
    <col min="10754" max="11008" width="9.140625" style="123"/>
    <col min="11009" max="11009" width="11.140625" style="123" customWidth="1"/>
    <col min="11010" max="11264" width="9.140625" style="123"/>
    <col min="11265" max="11265" width="11.140625" style="123" customWidth="1"/>
    <col min="11266" max="11520" width="9.140625" style="123"/>
    <col min="11521" max="11521" width="11.140625" style="123" customWidth="1"/>
    <col min="11522" max="11776" width="9.140625" style="123"/>
    <col min="11777" max="11777" width="11.140625" style="123" customWidth="1"/>
    <col min="11778" max="12032" width="9.140625" style="123"/>
    <col min="12033" max="12033" width="11.140625" style="123" customWidth="1"/>
    <col min="12034" max="12288" width="9.140625" style="123"/>
    <col min="12289" max="12289" width="11.140625" style="123" customWidth="1"/>
    <col min="12290" max="12544" width="9.140625" style="123"/>
    <col min="12545" max="12545" width="11.140625" style="123" customWidth="1"/>
    <col min="12546" max="12800" width="9.140625" style="123"/>
    <col min="12801" max="12801" width="11.140625" style="123" customWidth="1"/>
    <col min="12802" max="13056" width="9.140625" style="123"/>
    <col min="13057" max="13057" width="11.140625" style="123" customWidth="1"/>
    <col min="13058" max="13312" width="9.140625" style="123"/>
    <col min="13313" max="13313" width="11.140625" style="123" customWidth="1"/>
    <col min="13314" max="13568" width="9.140625" style="123"/>
    <col min="13569" max="13569" width="11.140625" style="123" customWidth="1"/>
    <col min="13570" max="13824" width="9.140625" style="123"/>
    <col min="13825" max="13825" width="11.140625" style="123" customWidth="1"/>
    <col min="13826" max="14080" width="9.140625" style="123"/>
    <col min="14081" max="14081" width="11.140625" style="123" customWidth="1"/>
    <col min="14082" max="14336" width="9.140625" style="123"/>
    <col min="14337" max="14337" width="11.140625" style="123" customWidth="1"/>
    <col min="14338" max="14592" width="9.140625" style="123"/>
    <col min="14593" max="14593" width="11.140625" style="123" customWidth="1"/>
    <col min="14594" max="14848" width="9.140625" style="123"/>
    <col min="14849" max="14849" width="11.140625" style="123" customWidth="1"/>
    <col min="14850" max="15104" width="9.140625" style="123"/>
    <col min="15105" max="15105" width="11.140625" style="123" customWidth="1"/>
    <col min="15106" max="15360" width="9.140625" style="123"/>
    <col min="15361" max="15361" width="11.140625" style="123" customWidth="1"/>
    <col min="15362" max="15616" width="9.140625" style="123"/>
    <col min="15617" max="15617" width="11.140625" style="123" customWidth="1"/>
    <col min="15618" max="15872" width="9.140625" style="123"/>
    <col min="15873" max="15873" width="11.140625" style="123" customWidth="1"/>
    <col min="15874" max="16128" width="9.140625" style="123"/>
    <col min="16129" max="16129" width="11.140625" style="123" customWidth="1"/>
    <col min="16130" max="16384" width="9.140625" style="123"/>
  </cols>
  <sheetData>
    <row r="2" spans="1:9" ht="15.75">
      <c r="A2" s="122"/>
      <c r="B2" s="122"/>
      <c r="C2" s="122"/>
      <c r="D2" s="122"/>
      <c r="E2" s="122"/>
      <c r="F2" s="122"/>
      <c r="G2" s="122"/>
      <c r="H2" s="122"/>
      <c r="I2" s="122"/>
    </row>
    <row r="3" spans="1:9" ht="18">
      <c r="A3" s="129" t="s">
        <v>394</v>
      </c>
      <c r="B3" s="129"/>
      <c r="C3" s="129"/>
      <c r="D3" s="129"/>
      <c r="E3" s="129"/>
      <c r="F3" s="129"/>
      <c r="G3" s="122"/>
      <c r="H3" s="122"/>
      <c r="I3" s="122"/>
    </row>
    <row r="4" spans="1:9" ht="18">
      <c r="A4" s="129" t="s">
        <v>395</v>
      </c>
      <c r="B4" s="129"/>
      <c r="C4" s="129"/>
      <c r="D4" s="129"/>
      <c r="E4" s="129"/>
      <c r="F4" s="129"/>
      <c r="G4" s="122"/>
      <c r="H4" s="122"/>
      <c r="I4" s="122"/>
    </row>
    <row r="5" spans="1:9" ht="15.75">
      <c r="A5" s="122"/>
      <c r="B5" s="122"/>
      <c r="C5" s="122"/>
      <c r="D5" s="122"/>
      <c r="E5" s="122"/>
      <c r="F5" s="122"/>
      <c r="G5" s="122"/>
      <c r="H5" s="122"/>
      <c r="I5" s="122"/>
    </row>
    <row r="6" spans="1:9" ht="15.75">
      <c r="A6" s="122"/>
      <c r="B6" s="122"/>
      <c r="C6" s="122"/>
      <c r="D6" s="122"/>
      <c r="E6" s="122"/>
      <c r="F6" s="122"/>
      <c r="G6" s="122"/>
      <c r="H6" s="122"/>
      <c r="I6" s="122"/>
    </row>
    <row r="7" spans="1:9" ht="15.75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.75">
      <c r="A8" s="122"/>
      <c r="B8" s="122"/>
      <c r="C8" s="122"/>
      <c r="D8" s="122"/>
      <c r="E8" s="122"/>
      <c r="F8" s="122"/>
      <c r="G8" s="122"/>
      <c r="H8" s="122"/>
      <c r="I8" s="122"/>
    </row>
    <row r="9" spans="1:9" ht="15.75">
      <c r="A9" s="122"/>
      <c r="B9" s="122"/>
      <c r="C9" s="122"/>
      <c r="D9" s="122"/>
      <c r="E9" s="122"/>
      <c r="F9" s="122"/>
      <c r="G9" s="122"/>
      <c r="H9" s="122"/>
      <c r="I9" s="122"/>
    </row>
    <row r="10" spans="1:9" ht="15.75">
      <c r="A10" s="122"/>
      <c r="B10" s="122"/>
      <c r="C10" s="122"/>
      <c r="D10" s="122"/>
      <c r="E10" s="122"/>
      <c r="F10" s="122"/>
      <c r="G10" s="122"/>
      <c r="H10" s="122"/>
      <c r="I10" s="122"/>
    </row>
    <row r="11" spans="1:9" ht="15.75">
      <c r="A11" s="122"/>
      <c r="B11" s="122"/>
      <c r="C11" s="122"/>
      <c r="D11" s="122"/>
      <c r="E11" s="122"/>
      <c r="F11" s="122"/>
      <c r="G11" s="122"/>
      <c r="H11" s="122"/>
      <c r="I11" s="122"/>
    </row>
    <row r="12" spans="1:9" ht="15.75">
      <c r="A12" s="124"/>
    </row>
    <row r="13" spans="1:9" ht="15.75">
      <c r="A13" s="124"/>
    </row>
    <row r="14" spans="1:9" ht="15.75">
      <c r="A14" s="124"/>
      <c r="I14" s="125"/>
    </row>
    <row r="15" spans="1:9">
      <c r="H15" s="123" t="s">
        <v>303</v>
      </c>
      <c r="I15" s="126"/>
    </row>
    <row r="21" spans="1:9" ht="18">
      <c r="A21" s="1046" t="s">
        <v>396</v>
      </c>
      <c r="B21" s="1046"/>
      <c r="C21" s="1046"/>
      <c r="D21" s="1046"/>
      <c r="E21" s="1046"/>
      <c r="F21" s="1046"/>
      <c r="G21" s="1046"/>
      <c r="H21" s="1046"/>
      <c r="I21" s="1046"/>
    </row>
    <row r="22" spans="1:9" ht="18" customHeight="1">
      <c r="A22" s="1046" t="s">
        <v>397</v>
      </c>
      <c r="B22" s="1046"/>
      <c r="C22" s="1046"/>
      <c r="D22" s="1046"/>
      <c r="E22" s="1046"/>
      <c r="F22" s="1046"/>
      <c r="G22" s="1046"/>
      <c r="H22" s="1046"/>
      <c r="I22" s="1046"/>
    </row>
    <row r="24" spans="1:9">
      <c r="B24" s="127"/>
    </row>
    <row r="25" spans="1:9">
      <c r="B25" s="127"/>
    </row>
    <row r="26" spans="1:9">
      <c r="B26" s="127"/>
    </row>
    <row r="27" spans="1:9">
      <c r="B27" s="127"/>
    </row>
    <row r="28" spans="1:9">
      <c r="B28" s="127"/>
    </row>
    <row r="33" spans="1:10">
      <c r="A33" s="128"/>
    </row>
    <row r="35" spans="1:10" ht="15.75" customHeight="1">
      <c r="D35" s="1048" t="s">
        <v>305</v>
      </c>
      <c r="E35" s="1048"/>
      <c r="F35" s="1048"/>
      <c r="G35" s="1048"/>
      <c r="H35" s="1048"/>
      <c r="I35" s="1048"/>
      <c r="J35" s="136"/>
    </row>
    <row r="36" spans="1:10" ht="15">
      <c r="F36" s="36"/>
    </row>
    <row r="37" spans="1:10" ht="15.75">
      <c r="F37" s="38" t="s">
        <v>304</v>
      </c>
      <c r="G37" s="38"/>
      <c r="H37" s="38"/>
    </row>
    <row r="44" spans="1:10" ht="15.75">
      <c r="A44" s="1047" t="s">
        <v>464</v>
      </c>
      <c r="B44" s="1047"/>
      <c r="C44" s="1047"/>
      <c r="D44" s="1047"/>
      <c r="E44" s="1047"/>
      <c r="F44" s="1047"/>
      <c r="G44" s="1047"/>
      <c r="H44" s="1047"/>
      <c r="I44" s="1047"/>
    </row>
  </sheetData>
  <customSheetViews>
    <customSheetView guid="{DE360DA9-5353-4F03-95DA-9238CFBE39D8}" state="hidden" topLeftCell="A16">
      <selection activeCell="A45" sqref="A45"/>
      <pageMargins left="0.7" right="0.7" top="0.75" bottom="0.75" header="0.3" footer="0.3"/>
      <pageSetup paperSize="9" orientation="portrait" r:id="rId1"/>
    </customSheetView>
    <customSheetView guid="{4FFB33FE-6696-4144-BF99-378C5196B940}" state="hidden" topLeftCell="A16">
      <selection activeCell="A45" sqref="A45"/>
      <pageMargins left="0.7" right="0.7" top="0.75" bottom="0.75" header="0.3" footer="0.3"/>
      <pageSetup paperSize="9" orientation="portrait" r:id="rId2"/>
    </customSheetView>
    <customSheetView guid="{3D59341C-00F4-4635-AC4F-8988CF6BE637}" state="hidden" topLeftCell="A16">
      <selection activeCell="A45" sqref="A45"/>
      <pageMargins left="0.7" right="0.7" top="0.75" bottom="0.75" header="0.3" footer="0.3"/>
      <pageSetup paperSize="9" orientation="portrait" r:id="rId3"/>
    </customSheetView>
    <customSheetView guid="{5251AB89-31D9-4C6C-945A-13C9748C2E26}" state="hidden" topLeftCell="A16">
      <selection activeCell="A45" sqref="A45"/>
      <pageMargins left="0.7" right="0.7" top="0.75" bottom="0.75" header="0.3" footer="0.3"/>
      <pageSetup paperSize="9" orientation="portrait" r:id="rId4"/>
    </customSheetView>
    <customSheetView guid="{14A1FC8C-94B5-4B4E-9269-30661976D1D1}" state="hidden" topLeftCell="A16">
      <selection activeCell="A45" sqref="A45"/>
      <pageMargins left="0.7" right="0.7" top="0.75" bottom="0.75" header="0.3" footer="0.3"/>
      <pageSetup paperSize="9" orientation="portrait" r:id="rId5"/>
    </customSheetView>
    <customSheetView guid="{D0F51479-7B68-4FFC-8604-F0A17468B00E}" state="hidden" topLeftCell="A16">
      <selection activeCell="A45" sqref="A45"/>
      <pageMargins left="0.7" right="0.7" top="0.75" bottom="0.75" header="0.3" footer="0.3"/>
      <pageSetup paperSize="9" orientation="portrait" r:id="rId6"/>
    </customSheetView>
    <customSheetView guid="{0D7CE69A-AF67-471F-AE1C-92FEF35D1955}" state="hidden" topLeftCell="A16">
      <selection activeCell="A45" sqref="A45"/>
      <pageMargins left="0.7" right="0.7" top="0.75" bottom="0.75" header="0.3" footer="0.3"/>
      <pageSetup paperSize="9" orientation="portrait" r:id="rId7"/>
    </customSheetView>
    <customSheetView guid="{3EC3B099-A84F-48D2-A97E-B7686AB72BE7}" state="hidden" topLeftCell="A16">
      <selection activeCell="A45" sqref="A45"/>
      <pageMargins left="0.7" right="0.7" top="0.75" bottom="0.75" header="0.3" footer="0.3"/>
      <pageSetup paperSize="9" orientation="portrait" r:id="rId8"/>
    </customSheetView>
  </customSheetViews>
  <mergeCells count="4">
    <mergeCell ref="A21:I21"/>
    <mergeCell ref="A44:I44"/>
    <mergeCell ref="D35:I35"/>
    <mergeCell ref="A22:I22"/>
  </mergeCell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3"/>
  <sheetViews>
    <sheetView workbookViewId="0">
      <selection activeCell="J19" sqref="J19"/>
    </sheetView>
  </sheetViews>
  <sheetFormatPr defaultRowHeight="15"/>
  <cols>
    <col min="2" max="2" width="34.85546875" customWidth="1"/>
    <col min="3" max="3" width="11.28515625" customWidth="1"/>
    <col min="4" max="4" width="8.42578125" customWidth="1"/>
    <col min="5" max="5" width="18.42578125" customWidth="1"/>
    <col min="6" max="6" width="18.28515625" customWidth="1"/>
    <col min="7" max="7" width="18.85546875" customWidth="1"/>
    <col min="8" max="8" width="16.85546875" bestFit="1" customWidth="1"/>
    <col min="9" max="9" width="19.7109375" customWidth="1"/>
    <col min="10" max="10" width="20.85546875" customWidth="1"/>
  </cols>
  <sheetData>
    <row r="1" spans="1:10" ht="15.75" thickBot="1">
      <c r="A1" s="1074" t="s">
        <v>469</v>
      </c>
      <c r="B1" s="1074"/>
      <c r="C1" s="1074"/>
      <c r="D1" s="1074"/>
      <c r="E1" s="1074"/>
      <c r="F1" s="1074"/>
      <c r="G1" s="1074"/>
    </row>
    <row r="2" spans="1:10">
      <c r="A2" s="1081" t="s">
        <v>379</v>
      </c>
      <c r="B2" s="1079" t="s">
        <v>467</v>
      </c>
      <c r="C2" s="1083"/>
      <c r="D2" s="605"/>
      <c r="E2" s="601">
        <v>2017</v>
      </c>
      <c r="F2" s="601">
        <v>2018</v>
      </c>
      <c r="G2" s="602">
        <v>2019</v>
      </c>
    </row>
    <row r="3" spans="1:10" ht="30" customHeight="1" thickBot="1">
      <c r="A3" s="1082"/>
      <c r="B3" s="1080"/>
      <c r="C3" s="1084"/>
      <c r="D3" s="606"/>
      <c r="E3" s="603">
        <f>E5+E9+E12+E14+E19+E23+E26+E29+E33+E35+E38+E41</f>
        <v>280809834</v>
      </c>
      <c r="F3" s="603">
        <f t="shared" ref="F3:G3" si="0">F5+F9+F12+F14+F19+F23+F26+F29+F33+F35+F38+F41</f>
        <v>642082203</v>
      </c>
      <c r="G3" s="604">
        <f t="shared" si="0"/>
        <v>684559546.99800003</v>
      </c>
      <c r="H3" s="22"/>
      <c r="I3" s="22"/>
      <c r="J3" s="22"/>
    </row>
    <row r="4" spans="1:10" ht="30" customHeight="1" thickBot="1">
      <c r="A4" s="1075" t="s">
        <v>377</v>
      </c>
      <c r="B4" s="1076"/>
      <c r="C4" s="610" t="s">
        <v>471</v>
      </c>
      <c r="D4" s="586" t="s">
        <v>472</v>
      </c>
      <c r="E4" s="587"/>
      <c r="F4" s="587"/>
      <c r="G4" s="588"/>
      <c r="H4" s="265"/>
      <c r="I4" s="265"/>
      <c r="J4" s="265"/>
    </row>
    <row r="5" spans="1:10" ht="15.75" thickBot="1">
      <c r="A5" s="573" t="s">
        <v>381</v>
      </c>
      <c r="B5" s="598" t="s">
        <v>187</v>
      </c>
      <c r="C5" s="568"/>
      <c r="D5" s="607"/>
      <c r="E5" s="599">
        <f>E6+E7+E8</f>
        <v>17914712</v>
      </c>
      <c r="F5" s="599">
        <f t="shared" ref="F5:G5" si="1">F6+F7+F8</f>
        <v>17829164</v>
      </c>
      <c r="G5" s="600">
        <f t="shared" si="1"/>
        <v>18524164</v>
      </c>
    </row>
    <row r="6" spans="1:10">
      <c r="A6" s="544"/>
      <c r="B6" s="553"/>
      <c r="C6" s="543">
        <v>11</v>
      </c>
      <c r="D6" s="543">
        <v>6711</v>
      </c>
      <c r="E6" s="582">
        <v>16749164</v>
      </c>
      <c r="F6" s="582">
        <v>17229164</v>
      </c>
      <c r="G6" s="583">
        <v>17924164</v>
      </c>
    </row>
    <row r="7" spans="1:10">
      <c r="A7" s="544"/>
      <c r="B7" s="553"/>
      <c r="C7" s="541">
        <v>11</v>
      </c>
      <c r="D7" s="541">
        <v>6712</v>
      </c>
      <c r="E7" s="542">
        <v>1145000</v>
      </c>
      <c r="F7" s="542">
        <v>600000</v>
      </c>
      <c r="G7" s="545">
        <v>600000</v>
      </c>
    </row>
    <row r="8" spans="1:10" ht="15.75" thickBot="1">
      <c r="A8" s="546"/>
      <c r="B8" s="554"/>
      <c r="C8" s="555">
        <v>31</v>
      </c>
      <c r="D8" s="555">
        <v>6615</v>
      </c>
      <c r="E8" s="556">
        <v>20548</v>
      </c>
      <c r="F8" s="556">
        <v>0</v>
      </c>
      <c r="G8" s="557">
        <v>0</v>
      </c>
    </row>
    <row r="9" spans="1:10" ht="15.75" thickBot="1">
      <c r="A9" s="573" t="s">
        <v>382</v>
      </c>
      <c r="B9" s="1077" t="s">
        <v>368</v>
      </c>
      <c r="C9" s="1078"/>
      <c r="D9" s="608"/>
      <c r="E9" s="584">
        <v>11875000</v>
      </c>
      <c r="F9" s="584">
        <v>28575000</v>
      </c>
      <c r="G9" s="585">
        <v>27575000</v>
      </c>
    </row>
    <row r="10" spans="1:10">
      <c r="A10" s="544"/>
      <c r="B10" s="549"/>
      <c r="C10" s="575">
        <v>81</v>
      </c>
      <c r="D10" s="575">
        <v>6711</v>
      </c>
      <c r="E10" s="582">
        <v>1125000</v>
      </c>
      <c r="F10" s="582">
        <v>1075000</v>
      </c>
      <c r="G10" s="583">
        <v>1075000</v>
      </c>
    </row>
    <row r="11" spans="1:10" ht="15.75" thickBot="1">
      <c r="A11" s="544"/>
      <c r="B11" s="549"/>
      <c r="C11" s="561">
        <v>81</v>
      </c>
      <c r="D11" s="561">
        <v>6714</v>
      </c>
      <c r="E11" s="556">
        <v>10750000</v>
      </c>
      <c r="F11" s="556">
        <v>27500000</v>
      </c>
      <c r="G11" s="557">
        <v>26500000</v>
      </c>
      <c r="H11" s="265"/>
      <c r="I11" s="265"/>
      <c r="J11" s="265"/>
    </row>
    <row r="12" spans="1:10" ht="15.75" thickBot="1">
      <c r="A12" s="573" t="s">
        <v>383</v>
      </c>
      <c r="B12" s="598" t="s">
        <v>346</v>
      </c>
      <c r="C12" s="578"/>
      <c r="D12" s="609"/>
      <c r="E12" s="584">
        <v>70000000</v>
      </c>
      <c r="F12" s="584">
        <v>80000000</v>
      </c>
      <c r="G12" s="585">
        <v>75000000</v>
      </c>
    </row>
    <row r="13" spans="1:10" ht="15.75" thickBot="1">
      <c r="A13" s="546"/>
      <c r="B13" s="554"/>
      <c r="C13" s="579">
        <v>11</v>
      </c>
      <c r="D13" s="579">
        <v>6714</v>
      </c>
      <c r="E13" s="580">
        <f>E12</f>
        <v>70000000</v>
      </c>
      <c r="F13" s="580">
        <f t="shared" ref="F13:G13" si="2">F12</f>
        <v>80000000</v>
      </c>
      <c r="G13" s="581">
        <f t="shared" si="2"/>
        <v>75000000</v>
      </c>
    </row>
    <row r="14" spans="1:10" ht="30.75" thickBot="1">
      <c r="A14" s="573" t="s">
        <v>384</v>
      </c>
      <c r="B14" s="574" t="s">
        <v>358</v>
      </c>
      <c r="C14" s="578"/>
      <c r="D14" s="609"/>
      <c r="E14" s="569">
        <f>E15+E16+E17+E18</f>
        <v>25486450</v>
      </c>
      <c r="F14" s="569">
        <f t="shared" ref="F14:G14" si="3">F15+F16+F17+F18</f>
        <v>31956783</v>
      </c>
      <c r="G14" s="570">
        <f t="shared" si="3"/>
        <v>31956783</v>
      </c>
      <c r="H14" s="265"/>
      <c r="I14" s="265"/>
      <c r="J14" s="265"/>
    </row>
    <row r="15" spans="1:10">
      <c r="A15" s="544"/>
      <c r="B15" s="552"/>
      <c r="C15" s="575">
        <v>12</v>
      </c>
      <c r="D15" s="575">
        <v>6711</v>
      </c>
      <c r="E15" s="576">
        <v>5137922</v>
      </c>
      <c r="F15" s="576">
        <v>6935444</v>
      </c>
      <c r="G15" s="577">
        <v>7027091</v>
      </c>
      <c r="H15" s="265"/>
      <c r="I15" s="265"/>
      <c r="J15" s="265"/>
    </row>
    <row r="16" spans="1:10">
      <c r="A16" s="544"/>
      <c r="B16" s="552"/>
      <c r="C16" s="559">
        <v>12</v>
      </c>
      <c r="D16" s="559">
        <v>6712</v>
      </c>
      <c r="E16" s="562">
        <v>119762</v>
      </c>
      <c r="F16" s="562">
        <v>125294</v>
      </c>
      <c r="G16" s="563">
        <v>33647</v>
      </c>
    </row>
    <row r="17" spans="1:13">
      <c r="A17" s="544"/>
      <c r="B17" s="553"/>
      <c r="C17" s="559">
        <v>563</v>
      </c>
      <c r="D17" s="559">
        <v>6323</v>
      </c>
      <c r="E17" s="562">
        <v>19550116</v>
      </c>
      <c r="F17" s="562">
        <v>24186045</v>
      </c>
      <c r="G17" s="563">
        <v>24705379</v>
      </c>
    </row>
    <row r="18" spans="1:13" ht="15.75" thickBot="1">
      <c r="A18" s="546"/>
      <c r="B18" s="554"/>
      <c r="C18" s="561">
        <v>563</v>
      </c>
      <c r="D18" s="561">
        <v>6324</v>
      </c>
      <c r="E18" s="564">
        <v>678650</v>
      </c>
      <c r="F18" s="564">
        <v>710000</v>
      </c>
      <c r="G18" s="565">
        <v>190666</v>
      </c>
      <c r="H18" s="265"/>
    </row>
    <row r="19" spans="1:13" ht="45.75" thickBot="1">
      <c r="A19" s="571" t="s">
        <v>459</v>
      </c>
      <c r="B19" s="572" t="s">
        <v>473</v>
      </c>
      <c r="C19" s="568"/>
      <c r="D19" s="607"/>
      <c r="E19" s="569">
        <f>E20+E21+E22</f>
        <v>119529412</v>
      </c>
      <c r="F19" s="569">
        <f t="shared" ref="F19:G19" si="4">F20+F21+F22</f>
        <v>440558412</v>
      </c>
      <c r="G19" s="570">
        <f t="shared" si="4"/>
        <v>485087824</v>
      </c>
      <c r="H19" s="265"/>
      <c r="I19" s="265"/>
      <c r="J19" s="265"/>
    </row>
    <row r="20" spans="1:13">
      <c r="A20" s="547"/>
      <c r="B20" s="551"/>
      <c r="C20" s="558">
        <v>12</v>
      </c>
      <c r="D20" s="558">
        <v>6714</v>
      </c>
      <c r="E20" s="566">
        <v>0</v>
      </c>
      <c r="F20" s="566">
        <v>80029412</v>
      </c>
      <c r="G20" s="567">
        <v>122558824</v>
      </c>
      <c r="K20" s="22"/>
      <c r="L20" s="22"/>
      <c r="M20" s="22"/>
    </row>
    <row r="21" spans="1:13">
      <c r="A21" s="544"/>
      <c r="B21" s="552"/>
      <c r="C21" s="559">
        <v>563</v>
      </c>
      <c r="D21" s="559">
        <v>6323</v>
      </c>
      <c r="E21" s="562">
        <v>500000</v>
      </c>
      <c r="F21" s="562">
        <v>4000000</v>
      </c>
      <c r="G21" s="563">
        <v>6000000</v>
      </c>
      <c r="K21" s="22"/>
      <c r="L21" s="22"/>
      <c r="M21" s="22"/>
    </row>
    <row r="22" spans="1:13" ht="15.75" thickBot="1">
      <c r="A22" s="544"/>
      <c r="B22" s="553"/>
      <c r="C22" s="561">
        <v>563</v>
      </c>
      <c r="D22" s="561">
        <v>6324</v>
      </c>
      <c r="E22" s="564">
        <v>119029412</v>
      </c>
      <c r="F22" s="564">
        <v>356529000</v>
      </c>
      <c r="G22" s="565">
        <v>356529000</v>
      </c>
      <c r="H22" s="265"/>
      <c r="I22" s="265"/>
      <c r="J22" s="265"/>
    </row>
    <row r="23" spans="1:13" ht="45.75" thickBot="1">
      <c r="A23" s="573" t="s">
        <v>385</v>
      </c>
      <c r="B23" s="574" t="s">
        <v>369</v>
      </c>
      <c r="C23" s="578"/>
      <c r="D23" s="609"/>
      <c r="E23" s="569">
        <f>E24+E25</f>
        <v>7889101</v>
      </c>
      <c r="F23" s="569">
        <f t="shared" ref="F23:G23" si="5">F24+F25</f>
        <v>11269571</v>
      </c>
      <c r="G23" s="570">
        <f t="shared" si="5"/>
        <v>14522575.998</v>
      </c>
    </row>
    <row r="24" spans="1:13">
      <c r="A24" s="544"/>
      <c r="B24" s="549"/>
      <c r="C24" s="575">
        <v>563</v>
      </c>
      <c r="D24" s="575">
        <v>6323</v>
      </c>
      <c r="E24" s="576">
        <v>6337101</v>
      </c>
      <c r="F24" s="576">
        <v>10504971</v>
      </c>
      <c r="G24" s="577">
        <v>14057775.998</v>
      </c>
      <c r="H24" s="265"/>
    </row>
    <row r="25" spans="1:13" ht="15.75" thickBot="1">
      <c r="A25" s="546"/>
      <c r="B25" s="550"/>
      <c r="C25" s="561">
        <v>563</v>
      </c>
      <c r="D25" s="561">
        <v>6324</v>
      </c>
      <c r="E25" s="564">
        <v>1552000</v>
      </c>
      <c r="F25" s="564">
        <v>764600</v>
      </c>
      <c r="G25" s="565">
        <v>464800</v>
      </c>
    </row>
    <row r="26" spans="1:13" ht="15.75" thickBot="1">
      <c r="A26" s="573" t="s">
        <v>386</v>
      </c>
      <c r="B26" s="589" t="s">
        <v>349</v>
      </c>
      <c r="C26" s="578"/>
      <c r="D26" s="609"/>
      <c r="E26" s="569">
        <f>E27+E28</f>
        <v>6850000</v>
      </c>
      <c r="F26" s="569">
        <f t="shared" ref="F26:G26" si="6">F27+F28</f>
        <v>3850000</v>
      </c>
      <c r="G26" s="570">
        <f t="shared" si="6"/>
        <v>3500000</v>
      </c>
    </row>
    <row r="27" spans="1:13">
      <c r="A27" s="547"/>
      <c r="B27" s="548"/>
      <c r="C27" s="558">
        <v>11</v>
      </c>
      <c r="D27" s="558">
        <v>6711</v>
      </c>
      <c r="E27" s="566">
        <v>3350000</v>
      </c>
      <c r="F27" s="566">
        <v>350000</v>
      </c>
      <c r="G27" s="567">
        <v>0</v>
      </c>
      <c r="H27" s="265"/>
      <c r="I27" s="265"/>
      <c r="J27" s="265"/>
    </row>
    <row r="28" spans="1:13" ht="15.75" thickBot="1">
      <c r="A28" s="544"/>
      <c r="C28" s="561">
        <v>11</v>
      </c>
      <c r="D28" s="561">
        <v>6714</v>
      </c>
      <c r="E28" s="564">
        <v>3500000</v>
      </c>
      <c r="F28" s="564">
        <v>3500000</v>
      </c>
      <c r="G28" s="565">
        <v>3500000</v>
      </c>
    </row>
    <row r="29" spans="1:13" ht="15.75" thickBot="1">
      <c r="A29" s="573" t="s">
        <v>387</v>
      </c>
      <c r="B29" s="589" t="s">
        <v>388</v>
      </c>
      <c r="C29" s="591"/>
      <c r="D29" s="591"/>
      <c r="E29" s="569">
        <f>E30+E31+E32</f>
        <v>8236000</v>
      </c>
      <c r="F29" s="569">
        <f t="shared" ref="F29:G29" si="7">F30+F31+F32</f>
        <v>8354105</v>
      </c>
      <c r="G29" s="569">
        <f t="shared" si="7"/>
        <v>8673542</v>
      </c>
      <c r="I29" s="265"/>
      <c r="J29" s="265"/>
    </row>
    <row r="30" spans="1:13">
      <c r="A30" s="544"/>
      <c r="C30" s="592">
        <v>11</v>
      </c>
      <c r="D30" s="592">
        <v>6711</v>
      </c>
      <c r="E30" s="564">
        <v>4966000</v>
      </c>
      <c r="F30" s="564">
        <v>4514105</v>
      </c>
      <c r="G30" s="564">
        <v>4603542</v>
      </c>
    </row>
    <row r="31" spans="1:13">
      <c r="A31" s="544"/>
      <c r="C31" s="592">
        <v>12</v>
      </c>
      <c r="D31" s="592">
        <v>6711</v>
      </c>
      <c r="E31" s="611">
        <v>346500</v>
      </c>
      <c r="F31" s="611">
        <v>412335</v>
      </c>
      <c r="G31" s="611">
        <v>438900</v>
      </c>
    </row>
    <row r="32" spans="1:13" ht="15.75" thickBot="1">
      <c r="A32" s="544"/>
      <c r="C32" s="592">
        <v>559</v>
      </c>
      <c r="D32" s="592">
        <v>6711</v>
      </c>
      <c r="E32" s="611">
        <v>2923500</v>
      </c>
      <c r="F32" s="611">
        <v>3427665</v>
      </c>
      <c r="G32" s="611">
        <v>3631100</v>
      </c>
    </row>
    <row r="33" spans="1:7" ht="15.75" thickBot="1">
      <c r="A33" s="573" t="s">
        <v>389</v>
      </c>
      <c r="B33" s="589" t="s">
        <v>355</v>
      </c>
      <c r="C33" s="591"/>
      <c r="D33" s="591"/>
      <c r="E33" s="569">
        <f>E34</f>
        <v>540950</v>
      </c>
      <c r="F33" s="569">
        <f t="shared" ref="F33:G33" si="8">F34</f>
        <v>540950</v>
      </c>
      <c r="G33" s="569">
        <f t="shared" si="8"/>
        <v>540950</v>
      </c>
    </row>
    <row r="34" spans="1:7" ht="15.75" thickBot="1">
      <c r="A34" s="544"/>
      <c r="C34" s="592">
        <v>51</v>
      </c>
      <c r="D34" s="592">
        <v>6323</v>
      </c>
      <c r="E34" s="564">
        <v>540950</v>
      </c>
      <c r="F34" s="564">
        <v>540950</v>
      </c>
      <c r="G34" s="565">
        <v>540950</v>
      </c>
    </row>
    <row r="35" spans="1:7" ht="30.75" thickBot="1">
      <c r="A35" s="573" t="s">
        <v>390</v>
      </c>
      <c r="B35" s="594" t="s">
        <v>367</v>
      </c>
      <c r="C35" s="591"/>
      <c r="D35" s="591"/>
      <c r="E35" s="569">
        <f>E36+E37</f>
        <v>7382133</v>
      </c>
      <c r="F35" s="569">
        <f t="shared" ref="F35:G35" si="9">F36+F37</f>
        <v>14184273</v>
      </c>
      <c r="G35" s="570">
        <f t="shared" si="9"/>
        <v>14895054</v>
      </c>
    </row>
    <row r="36" spans="1:7">
      <c r="A36" s="544"/>
      <c r="B36" s="549"/>
      <c r="C36" s="590">
        <v>563</v>
      </c>
      <c r="D36" s="590">
        <v>6323</v>
      </c>
      <c r="E36" s="576">
        <v>7282133</v>
      </c>
      <c r="F36" s="576">
        <v>13984273</v>
      </c>
      <c r="G36" s="577">
        <v>14845054</v>
      </c>
    </row>
    <row r="37" spans="1:7" ht="15.75" thickBot="1">
      <c r="A37" s="544"/>
      <c r="B37" s="549"/>
      <c r="C37" s="592">
        <v>563</v>
      </c>
      <c r="D37" s="592">
        <v>6324</v>
      </c>
      <c r="E37" s="564">
        <v>100000</v>
      </c>
      <c r="F37" s="564">
        <v>200000</v>
      </c>
      <c r="G37" s="565">
        <v>50000</v>
      </c>
    </row>
    <row r="38" spans="1:7" ht="15.75" thickBot="1">
      <c r="A38" s="573" t="s">
        <v>391</v>
      </c>
      <c r="B38" s="589" t="s">
        <v>356</v>
      </c>
      <c r="C38" s="591"/>
      <c r="D38" s="591"/>
      <c r="E38" s="569">
        <f>E39+E40</f>
        <v>1908040</v>
      </c>
      <c r="F38" s="569">
        <f t="shared" ref="F38:G38" si="10">F39+F40</f>
        <v>2067903</v>
      </c>
      <c r="G38" s="570">
        <f t="shared" si="10"/>
        <v>1848614</v>
      </c>
    </row>
    <row r="39" spans="1:7">
      <c r="A39" s="544"/>
      <c r="C39" s="590">
        <v>559</v>
      </c>
      <c r="D39" s="590">
        <v>6711</v>
      </c>
      <c r="E39" s="576">
        <v>1802621</v>
      </c>
      <c r="F39" s="576">
        <v>1953340</v>
      </c>
      <c r="G39" s="577">
        <v>1788499</v>
      </c>
    </row>
    <row r="40" spans="1:7" ht="15.75" thickBot="1">
      <c r="A40" s="544"/>
      <c r="C40" s="592">
        <v>51</v>
      </c>
      <c r="D40" s="592">
        <v>6323</v>
      </c>
      <c r="E40" s="564">
        <v>105419</v>
      </c>
      <c r="F40" s="564">
        <v>114563</v>
      </c>
      <c r="G40" s="565">
        <v>60115</v>
      </c>
    </row>
    <row r="41" spans="1:7" ht="15.75" thickBot="1">
      <c r="A41" s="573" t="s">
        <v>392</v>
      </c>
      <c r="B41" s="589" t="s">
        <v>351</v>
      </c>
      <c r="C41" s="593"/>
      <c r="D41" s="593"/>
      <c r="E41" s="569">
        <v>3198036</v>
      </c>
      <c r="F41" s="569">
        <v>2896042</v>
      </c>
      <c r="G41" s="570">
        <v>2435040</v>
      </c>
    </row>
    <row r="42" spans="1:7" ht="15.75" thickBot="1">
      <c r="A42" s="546"/>
      <c r="B42" s="560"/>
      <c r="C42" s="595">
        <v>11</v>
      </c>
      <c r="D42" s="595">
        <v>6711</v>
      </c>
      <c r="E42" s="596">
        <v>3198036</v>
      </c>
      <c r="F42" s="596">
        <v>2896042</v>
      </c>
      <c r="G42" s="597">
        <v>2435040</v>
      </c>
    </row>
    <row r="43" spans="1:7">
      <c r="E43" s="264"/>
      <c r="F43" s="264"/>
      <c r="G43" s="264"/>
    </row>
    <row r="44" spans="1:7">
      <c r="B44" t="s">
        <v>466</v>
      </c>
      <c r="E44" s="264"/>
      <c r="F44" s="264"/>
      <c r="G44" s="264"/>
    </row>
    <row r="45" spans="1:7">
      <c r="E45" s="264"/>
      <c r="F45" s="264"/>
      <c r="G45" s="264"/>
    </row>
    <row r="46" spans="1:7">
      <c r="E46" s="264"/>
      <c r="F46" s="264"/>
      <c r="G46" s="264"/>
    </row>
    <row r="47" spans="1:7">
      <c r="E47" s="264"/>
      <c r="F47" s="264"/>
      <c r="G47" s="264"/>
    </row>
    <row r="48" spans="1:7">
      <c r="E48" s="264"/>
      <c r="F48" s="264"/>
      <c r="G48" s="264"/>
    </row>
    <row r="49" spans="5:7">
      <c r="E49" s="264"/>
      <c r="F49" s="264"/>
      <c r="G49" s="264"/>
    </row>
    <row r="50" spans="5:7">
      <c r="E50" s="264"/>
      <c r="F50" s="264"/>
      <c r="G50" s="264"/>
    </row>
    <row r="51" spans="5:7">
      <c r="E51" s="264"/>
      <c r="F51" s="264"/>
      <c r="G51" s="264"/>
    </row>
    <row r="52" spans="5:7">
      <c r="E52" s="264"/>
      <c r="F52" s="264"/>
      <c r="G52" s="264"/>
    </row>
    <row r="53" spans="5:7">
      <c r="E53" s="264"/>
      <c r="F53" s="264"/>
      <c r="G53" s="264"/>
    </row>
  </sheetData>
  <customSheetViews>
    <customSheetView guid="{DE360DA9-5353-4F03-95DA-9238CFBE39D8}" state="hidden">
      <selection activeCell="J19" sqref="J19"/>
      <pageMargins left="0.7" right="0.7" top="0.75" bottom="0.75" header="0.3" footer="0.3"/>
      <pageSetup paperSize="9" orientation="landscape" r:id="rId1"/>
    </customSheetView>
    <customSheetView guid="{4FFB33FE-6696-4144-BF99-378C5196B940}" state="hidden">
      <selection activeCell="J19" sqref="J19"/>
      <pageMargins left="0.7" right="0.7" top="0.75" bottom="0.75" header="0.3" footer="0.3"/>
      <pageSetup paperSize="9" orientation="landscape" r:id="rId2"/>
    </customSheetView>
    <customSheetView guid="{3D59341C-00F4-4635-AC4F-8988CF6BE637}" state="hidden">
      <selection activeCell="J19" sqref="J19"/>
      <pageMargins left="0.7" right="0.7" top="0.75" bottom="0.75" header="0.3" footer="0.3"/>
      <pageSetup paperSize="9" orientation="landscape" r:id="rId3"/>
    </customSheetView>
    <customSheetView guid="{5251AB89-31D9-4C6C-945A-13C9748C2E26}" state="hidden">
      <selection activeCell="J19" sqref="J19"/>
      <pageMargins left="0.7" right="0.7" top="0.75" bottom="0.75" header="0.3" footer="0.3"/>
      <pageSetup paperSize="9" orientation="landscape" r:id="rId4"/>
    </customSheetView>
    <customSheetView guid="{14A1FC8C-94B5-4B4E-9269-30661976D1D1}" state="hidden">
      <selection activeCell="J19" sqref="J19"/>
      <pageMargins left="0.7" right="0.7" top="0.75" bottom="0.75" header="0.3" footer="0.3"/>
      <pageSetup paperSize="9" orientation="landscape" r:id="rId5"/>
    </customSheetView>
    <customSheetView guid="{D0F51479-7B68-4FFC-8604-F0A17468B00E}" state="hidden">
      <selection activeCell="J19" sqref="J19"/>
      <pageMargins left="0.7" right="0.7" top="0.75" bottom="0.75" header="0.3" footer="0.3"/>
      <pageSetup paperSize="9" orientation="landscape" r:id="rId6"/>
    </customSheetView>
    <customSheetView guid="{0D7CE69A-AF67-471F-AE1C-92FEF35D1955}" state="hidden">
      <selection activeCell="J19" sqref="J19"/>
      <pageMargins left="0.7" right="0.7" top="0.75" bottom="0.75" header="0.3" footer="0.3"/>
      <pageSetup paperSize="9" orientation="landscape" r:id="rId7"/>
    </customSheetView>
    <customSheetView guid="{3EC3B099-A84F-48D2-A97E-B7686AB72BE7}" state="hidden">
      <selection activeCell="J19" sqref="J19"/>
      <pageMargins left="0.7" right="0.7" top="0.75" bottom="0.75" header="0.3" footer="0.3"/>
      <pageSetup paperSize="9" orientation="landscape" r:id="rId8"/>
    </customSheetView>
  </customSheetViews>
  <mergeCells count="6">
    <mergeCell ref="A1:G1"/>
    <mergeCell ref="A4:B4"/>
    <mergeCell ref="B9:C9"/>
    <mergeCell ref="B2:B3"/>
    <mergeCell ref="A2:A3"/>
    <mergeCell ref="C2:C3"/>
  </mergeCells>
  <pageMargins left="0.7" right="0.7" top="0.75" bottom="0.75" header="0.3" footer="0.3"/>
  <pageSetup paperSize="9" orientation="landscape"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08"/>
  <sheetViews>
    <sheetView zoomScaleNormal="100" zoomScaleSheetLayoutView="130" workbookViewId="0">
      <pane ySplit="17" topLeftCell="A171" activePane="bottomLeft" state="frozen"/>
      <selection pane="bottomLeft" activeCell="F177" sqref="F177"/>
    </sheetView>
  </sheetViews>
  <sheetFormatPr defaultRowHeight="15"/>
  <cols>
    <col min="1" max="1" width="9.7109375" style="61" customWidth="1"/>
    <col min="2" max="2" width="50.7109375" customWidth="1"/>
    <col min="3" max="3" width="5.7109375" customWidth="1"/>
    <col min="4" max="4" width="14.85546875" hidden="1" customWidth="1"/>
    <col min="5" max="5" width="3.42578125" hidden="1" customWidth="1"/>
    <col min="6" max="6" width="5.7109375" customWidth="1"/>
    <col min="7" max="9" width="16.7109375" customWidth="1"/>
    <col min="10" max="10" width="23.5703125" bestFit="1" customWidth="1"/>
    <col min="11" max="11" width="21.42578125" customWidth="1"/>
    <col min="12" max="12" width="19" customWidth="1"/>
    <col min="13" max="13" width="15" customWidth="1"/>
  </cols>
  <sheetData>
    <row r="1" spans="1:11">
      <c r="A1" s="1090" t="s">
        <v>468</v>
      </c>
      <c r="B1" s="1090"/>
      <c r="C1" s="1090"/>
      <c r="D1" s="1090"/>
      <c r="E1" s="1090"/>
      <c r="F1" s="1090"/>
      <c r="G1" s="1090"/>
      <c r="H1" s="1090"/>
      <c r="I1" s="1090"/>
    </row>
    <row r="2" spans="1:11" ht="30" customHeight="1">
      <c r="A2" s="303"/>
      <c r="B2" s="304"/>
      <c r="C2" s="305" t="s">
        <v>220</v>
      </c>
      <c r="D2" s="306" t="s">
        <v>301</v>
      </c>
      <c r="E2" s="306" t="s">
        <v>301</v>
      </c>
      <c r="F2" s="305" t="s">
        <v>180</v>
      </c>
      <c r="G2" s="305" t="s">
        <v>398</v>
      </c>
      <c r="H2" s="305" t="s">
        <v>399</v>
      </c>
      <c r="I2" s="307" t="s">
        <v>400</v>
      </c>
    </row>
    <row r="3" spans="1:11" ht="25.5" customHeight="1">
      <c r="A3" s="308" t="s">
        <v>379</v>
      </c>
      <c r="B3" s="1085" t="s">
        <v>380</v>
      </c>
      <c r="C3" s="1086"/>
      <c r="D3" s="309" t="e">
        <f t="shared" ref="D3:E3" si="0">D4+D5+D8+D11+D12+D13+D14+D15+D16+D6+D9+D10</f>
        <v>#REF!</v>
      </c>
      <c r="E3" s="309" t="e">
        <f t="shared" si="0"/>
        <v>#REF!</v>
      </c>
      <c r="F3" s="309"/>
      <c r="G3" s="309">
        <f>G4+G5+G6+G8+G9+G10+G11+G12+G13+G14+G15+G16</f>
        <v>280809834</v>
      </c>
      <c r="H3" s="309">
        <f>H4+H5+H6+H8+H9+H10+H11+H12+H13+H14+H15+H16</f>
        <v>642082203</v>
      </c>
      <c r="I3" s="309">
        <f>I4+I5+I6+I8+I9+I10+I11+I12+I13+I14+I15+I16</f>
        <v>684559546.99800003</v>
      </c>
    </row>
    <row r="4" spans="1:11">
      <c r="A4" s="1087"/>
      <c r="B4" s="1087"/>
      <c r="C4" s="1087"/>
      <c r="D4" s="310">
        <f>D20+D21+D22+D24+D26+D27+D29+D30+D31+D33+D35+D36+D37+D38+D40+D41+D42+D43+D44+D45+D46+D47+D48+D50+D53+D54+D55+D56+D57+D58+D59+D61+D62+D66+D68+D69+D71+D76+D77+D222+D223+D225+D226+D231+D234+D236+D237+D239+D241+D244+D245+D247+D337+D339+D220</f>
        <v>13333999.26</v>
      </c>
      <c r="E4" s="310">
        <f>E20+E21+E22+E24+E26+E27+E29+E30+E31+E33+E35+E36+E37+E38+E40+E41+E42+E43+E44+E45+E46+E47+E48+E50+E53+E54+E55+E56+E57+E58+E59+E61+E62+E66+E68+E69+E71+E76+E77+E222+E223+E225+E226+E231+E234+E236+E237+E239+E241+E244+E245+E247+E337+E339</f>
        <v>13333984</v>
      </c>
      <c r="F4" s="311">
        <v>11</v>
      </c>
      <c r="G4" s="310">
        <f>G20+G21+G22+G24+G26+G27+G29+G30+G31+G33+G35+G36+G37+G38+G40+G41+G42+G43+G44+G45+G46+G47+G48+G50+G53+G54+G55+G56+G57+G58+G59+G61+G62+G66+G68+G69+G71+G76+G77+G222+G223+G225+G226+G231+G234+G236+G237+G239+G241+G244+G245+G247+G337+G339+G220+G64</f>
        <v>29408200</v>
      </c>
      <c r="H4" s="310">
        <f>H20+H21+H22+H24+H26+H27+H29+H30+H31+H33+H35+H36+H37+H38+H40+H41+H42+H43+H44+H45+H46+H47+H48+H50+H53+H54+H55+H56+H57+H58+H59+H61+H62+H66+H68+H69+H71+H76+H77+H222+H223+H225+H226+H231+H234+H236+H237+H239+H241+H244+H245+H247+H337+H339+H220+H64</f>
        <v>25589311</v>
      </c>
      <c r="I4" s="310">
        <f>I20+I21+I22+I24+I26+I27+I29+I30+I31+I33+I35+I36+I37+I38+I40+I41+I42+I43+I44+I45+I46+I47+I48+I50+I53+I54+I55+I56+I57+I58+I59+I61+I62+I66+I68+I69+I71+I76+I77+I222+I223+I225+I226+I231+I234+I236+I237+I239+I241+I244+I245+I247+I337+I339+I220+I64</f>
        <v>25562746</v>
      </c>
      <c r="J4" s="22"/>
      <c r="K4" s="22"/>
    </row>
    <row r="5" spans="1:11">
      <c r="A5" s="1087"/>
      <c r="B5" s="1087"/>
      <c r="C5" s="1087"/>
      <c r="D5" s="310">
        <f>D105+D107+D110+D113+D115+D118+D120+D122+D125+D127+D129+D132+D134+D136+D138+D140+D142+D144+D146+D149+D152+D154+D157+D160+D163+D165+D168+D171+D248</f>
        <v>3359987.05</v>
      </c>
      <c r="E5" s="310" t="e">
        <f>E105+E107+E110+E113+E115+E118+E120+E122+E125+E127+E129+E132+E134+E136+E138+E140+E142+E144+E146+E149+E152+E154+E157+E160+E163+E165+E168+E171+E248+#REF!+#REF!+#REF!+#REF!+#REF!+#REF!+#REF!+#REF!+#REF!+#REF!+#REF!+#REF!+#REF!+#REF!+#REF!+#REF!+#REF!+#REF!+#REF!+#REF!+#REF!</f>
        <v>#REF!</v>
      </c>
      <c r="F5" s="312">
        <v>12</v>
      </c>
      <c r="G5" s="310">
        <f>G105+G107+G110+G113+G115+G118+G120+G122+G125+G127+G129+G132+G134+G136+G138+G140+G142+G144+G146+G149+G152+G154+G157+G160+G163+G165+G168+G171+G248</f>
        <v>5604184</v>
      </c>
      <c r="H5" s="310">
        <f>H105+H107+H110+H113+H115+H118+H120+H122+H125+H127+H129+H132+H134+H136+H138+H140+H142+H144+H146+H149+H152+H154+H157+H160+H163+H165+H168+H171+H248</f>
        <v>7473073</v>
      </c>
      <c r="I5" s="310">
        <f>I105+I107+I110+I113+I115+I118+I120+I122+I125+I127+I129+I132+I134+I136+I138+I140+I142+I144+I146+I149+I152+I154+I157+I160+I163+I165+I168+I171+I248</f>
        <v>7499638</v>
      </c>
      <c r="J5" s="22"/>
      <c r="K5" s="22"/>
    </row>
    <row r="6" spans="1:11">
      <c r="A6" s="1087"/>
      <c r="B6" s="1087"/>
      <c r="C6" s="1087"/>
      <c r="D6" s="310">
        <f>D83+D84+D86+D87+D88+D89+D91+D93+D94</f>
        <v>1690513.74</v>
      </c>
      <c r="E6" s="310"/>
      <c r="F6" s="312" t="s">
        <v>334</v>
      </c>
      <c r="G6" s="310">
        <f>G83+G84+G86+G87+G88+G89+G91+G93+G94</f>
        <v>1125000</v>
      </c>
      <c r="H6" s="310">
        <f t="shared" ref="H6:I6" si="1">H83+H84+H86+H87+H88+H89+H91+H93+H94</f>
        <v>1075000</v>
      </c>
      <c r="I6" s="310">
        <f t="shared" si="1"/>
        <v>1075000</v>
      </c>
      <c r="J6" s="22"/>
      <c r="K6" s="22"/>
    </row>
    <row r="7" spans="1:11">
      <c r="A7" s="1087"/>
      <c r="B7" s="1087"/>
      <c r="C7" s="1087"/>
      <c r="D7" s="313">
        <f>D4+D5</f>
        <v>16693986.309999999</v>
      </c>
      <c r="E7" s="313" t="e">
        <f>E4+E5+#REF!</f>
        <v>#REF!</v>
      </c>
      <c r="F7" s="314" t="s">
        <v>267</v>
      </c>
      <c r="G7" s="313">
        <f>G4+G5+G6</f>
        <v>36137384</v>
      </c>
      <c r="H7" s="313">
        <f t="shared" ref="H7:I7" si="2">H4+H5+H6</f>
        <v>34137384</v>
      </c>
      <c r="I7" s="313">
        <f t="shared" si="2"/>
        <v>34137384</v>
      </c>
      <c r="K7" s="22"/>
    </row>
    <row r="8" spans="1:11">
      <c r="A8" s="1087"/>
      <c r="B8" s="1087"/>
      <c r="C8" s="1087"/>
      <c r="D8" s="310">
        <f>D73+D79+D80+D101+D102</f>
        <v>18360497.189999998</v>
      </c>
      <c r="E8" s="310">
        <v>1690514</v>
      </c>
      <c r="F8" s="518" t="s">
        <v>0</v>
      </c>
      <c r="G8" s="519">
        <f>G73+G79+G80+G101+G102</f>
        <v>70000000</v>
      </c>
      <c r="H8" s="519">
        <f>H73+H79+H80+H101+H102</f>
        <v>80000000</v>
      </c>
      <c r="I8" s="519">
        <f>I73+I79+I80+I101+I102</f>
        <v>75000000</v>
      </c>
      <c r="K8" s="22"/>
    </row>
    <row r="9" spans="1:11">
      <c r="A9" s="1087"/>
      <c r="B9" s="1087"/>
      <c r="C9" s="1087"/>
      <c r="D9" s="310" t="e">
        <f>#REF!+#REF!</f>
        <v>#REF!</v>
      </c>
      <c r="E9" s="310"/>
      <c r="F9" s="518" t="s">
        <v>82</v>
      </c>
      <c r="G9" s="519">
        <f>G228+G181+G177</f>
        <v>3500000</v>
      </c>
      <c r="H9" s="519">
        <f t="shared" ref="H9:I9" si="3">H228+H181+H177</f>
        <v>83529412</v>
      </c>
      <c r="I9" s="519">
        <f t="shared" si="3"/>
        <v>126058824</v>
      </c>
    </row>
    <row r="10" spans="1:11">
      <c r="A10" s="1087"/>
      <c r="B10" s="1087"/>
      <c r="C10" s="1087"/>
      <c r="D10" s="310">
        <f>D96+D98</f>
        <v>4500000</v>
      </c>
      <c r="E10" s="310"/>
      <c r="F10" s="518" t="s">
        <v>334</v>
      </c>
      <c r="G10" s="519">
        <f>G96+G98</f>
        <v>10750000</v>
      </c>
      <c r="H10" s="519">
        <f t="shared" ref="H10:I10" si="4">H96+H98</f>
        <v>27500000</v>
      </c>
      <c r="I10" s="519">
        <f t="shared" si="4"/>
        <v>26500000</v>
      </c>
      <c r="K10" s="22"/>
    </row>
    <row r="11" spans="1:11">
      <c r="A11" s="1087"/>
      <c r="B11" s="1087"/>
      <c r="C11" s="1087"/>
      <c r="D11" s="310" t="e">
        <f>#REF!+#REF!+#REF!+#REF!</f>
        <v>#REF!</v>
      </c>
      <c r="E11" s="310" t="e">
        <f>#REF!+#REF!+#REF!+#REF!</f>
        <v>#REF!</v>
      </c>
      <c r="F11" s="518">
        <v>563</v>
      </c>
      <c r="G11" s="519">
        <f>G178+G179+G182</f>
        <v>119029412</v>
      </c>
      <c r="H11" s="519">
        <f t="shared" ref="H11:I11" si="5">H178+H179+H182</f>
        <v>356529000</v>
      </c>
      <c r="I11" s="519">
        <f t="shared" si="5"/>
        <v>356529000</v>
      </c>
      <c r="K11" s="22"/>
    </row>
    <row r="12" spans="1:11">
      <c r="A12" s="1087"/>
      <c r="B12" s="1087"/>
      <c r="C12" s="1087"/>
      <c r="D12" s="310" t="e">
        <f>#REF!+D32+#REF!+#REF!+#REF!+#REF!+#REF!+#REF!+#REF!+#REF!+#REF!+#REF!+#REF!+#REF!</f>
        <v>#REF!</v>
      </c>
      <c r="E12" s="310" t="e">
        <f>#REF!+E32+#REF!+#REF!+#REF!+#REF!+#REF!+#REF!+#REF!+#REF!+#REF!+#REF!+#REF!+#REF!</f>
        <v>#REF!</v>
      </c>
      <c r="F12" s="312" t="s">
        <v>272</v>
      </c>
      <c r="G12" s="310">
        <f>G32</f>
        <v>20548</v>
      </c>
      <c r="H12" s="310">
        <f t="shared" ref="H12:I12" si="6">H32</f>
        <v>0</v>
      </c>
      <c r="I12" s="310">
        <f t="shared" si="6"/>
        <v>0</v>
      </c>
    </row>
    <row r="13" spans="1:11">
      <c r="A13" s="1087"/>
      <c r="B13" s="1087"/>
      <c r="C13" s="1087"/>
      <c r="D13" s="310" t="e">
        <f>D252+D253+D254+D256+D258+D259+D260+D261+D262+D263+D264+D265+D267+D269+D270+D272+D273+D308+D311+D313+D316+D318+D322+#REF!+D324+D326+D329+D331+D334</f>
        <v>#REF!</v>
      </c>
      <c r="E13" s="310" t="e">
        <f>E252+E253+E254+E256+E258+E259+E260+E261+E262+E263+E264+E265+E267+E269+E270+E272+E273+E308+E311+E313+E316+E318+E322+#REF!+E324+E326+E329+E331+E334</f>
        <v>#REF!</v>
      </c>
      <c r="F13" s="312" t="s">
        <v>235</v>
      </c>
      <c r="G13" s="310">
        <f>G252+G253+G254+G256+G258+G259+G260+G261+G262+G263+G264+G265+G267+G269+G270+G272+G273+G308+G311+G313+G316+G318+G322+G324+G326+G329+G331+G334</f>
        <v>646369</v>
      </c>
      <c r="H13" s="310">
        <f t="shared" ref="H13:I13" si="7">H252+H253+H254+H256+H258+H259+H260+H261+H262+H263+H264+H265+H267+H269+H270+H272+H273+H308+H311+H313+H316+H318+H322+H324+H326+H329+H331+H334</f>
        <v>655513</v>
      </c>
      <c r="I13" s="310">
        <f t="shared" si="7"/>
        <v>601065</v>
      </c>
    </row>
    <row r="14" spans="1:11">
      <c r="A14" s="1087"/>
      <c r="B14" s="1087"/>
      <c r="C14" s="1087"/>
      <c r="D14" s="310">
        <f>D51</f>
        <v>0</v>
      </c>
      <c r="E14" s="310">
        <f>E51</f>
        <v>-20865</v>
      </c>
      <c r="F14" s="312" t="s">
        <v>264</v>
      </c>
      <c r="G14" s="310">
        <f t="shared" ref="G14:I14" si="8">G51</f>
        <v>0</v>
      </c>
      <c r="H14" s="310">
        <f t="shared" si="8"/>
        <v>0</v>
      </c>
      <c r="I14" s="310">
        <f t="shared" si="8"/>
        <v>0</v>
      </c>
    </row>
    <row r="15" spans="1:11">
      <c r="A15" s="1087"/>
      <c r="B15" s="1087"/>
      <c r="C15" s="1087"/>
      <c r="D15" s="310" t="e">
        <f>D232+D235+D238+D242+D249+D307+D310+D312+D315+D319+D321+D323+#REF!+D325+D332+D328</f>
        <v>#REF!</v>
      </c>
      <c r="E15" s="310" t="e">
        <f>E232+E235+E238+E242+E249+E307+E310+E312+E315+E319+E321+E323+#REF!+E325+E332</f>
        <v>#REF!</v>
      </c>
      <c r="F15" s="312" t="s">
        <v>315</v>
      </c>
      <c r="G15" s="310">
        <f>G232+G235+G238+G242+G249+G307+G310+G312+G315+G319+G321+G323+G325+G332+G328</f>
        <v>4726121</v>
      </c>
      <c r="H15" s="310">
        <f t="shared" ref="H15:I15" si="9">H232+H235+H238+H242+H249+H307+H310+H312+H315+H319+H321+H323+H325+H332+H328</f>
        <v>5381005</v>
      </c>
      <c r="I15" s="310">
        <f t="shared" si="9"/>
        <v>5419599</v>
      </c>
    </row>
    <row r="16" spans="1:11">
      <c r="A16" s="1087"/>
      <c r="B16" s="1087"/>
      <c r="C16" s="1087"/>
      <c r="D16" s="310" t="e">
        <f>D106+D108+D111+D114+D116+D119+D121+D123+D126+D128+D130+D133+D135+D137+D139+D141+D143+D145+D147+D150+D153+D155+D158+D161+D164+D166+D169+D172+D185+D186+D188+D190+D191+D193+D194+D195+D197+D198+D200+D201+D202+D203+D204+D205+D206+D207+D209+D213+D215+D217+D276+D278+D280+D281+D283+D284+D285+D286+D288+D289+D291+D292+D293+D294+D295+D296+D298+D300+D301+D302+D304+D211+#REF!+#REF!+#REF!</f>
        <v>#REF!</v>
      </c>
      <c r="E16" s="310" t="e">
        <f>E106+E108+E111+E114+E116+E119+E121+E123+E126+E128+E130+E133+E135+E137+E139+E141+E143+E145+E147+E150+E153+E155+E158+E161+E164+E166+E169+E172+#REF!+#REF!+#REF!+#REF!+#REF!+#REF!+E185+E186+E188+E190+E191+E193+E194+E195+E197+E198+E200+E201+E202+E203+E204+E205+E206+E207+E209+E213+E215+E217+E276+E278+E280+E281+E283+E284+E285+E286+E288+E289+E291+E292+E293+E294+E295+E296+E298+E300+E301+E302+E304</f>
        <v>#REF!</v>
      </c>
      <c r="F16" s="312" t="s">
        <v>234</v>
      </c>
      <c r="G16" s="310">
        <f>G106+G108+G111+G114+G116+G119+G121+G123+G126+G128+G130+G133+G135+G137+G139+G141+G143+G145+G147+G150+G153+G155+G158+G161+G164+G166+G169+G172+G175+G185+G186+G188+G190+G191+G193+G194+G195+G197+G198+G200+G201+G202+G203+G204+G205+G206+G207+G209+G213+G215+G217+G276+G278+G280+G281+G283+G284+G285+G286+G288+G289+G291+G292+G293+G294+G295+G296+G298+G300+G301+G302+G304+G211</f>
        <v>36000000</v>
      </c>
      <c r="H16" s="310">
        <f>H106+H108+H111+H114+H116+H119+H121+H123+H126+H128+H130+H133+H135+H137+H139+H141+H143+H145+H147+H150+H153+H155+H158+H161+H164+H166+H169+H172+H175+H185+H186+H188+H190+H191+H193+H194+H195+H197+H198+H200+H201+H202+H203+H204+H205+H206+H207+H209+H213+H215+H217+H276+H278+H280+H281+H283+H284+H285+H286+H288+H289+H291+H292+H293+H294+H295+H296+H298+H300+H301+H302+H304+H211</f>
        <v>54349889</v>
      </c>
      <c r="I16" s="310">
        <f>I106+I108+I111+I114+I116+I119+I121+I123+I126+I128+I130+I133+I135+I137+I139+I141+I143+I145+I147+I150+I153+I155+I158+I161+I164+I166+I169+I172+I175+I185+I186+I188+I190+I191+I193+I194+I195+I197+I198+I200+I201+I202+I203+I204+I205+I206+I207+I209+I213+I215+I217+I276+I278+I280+I281+I283+I284+I285+I286+I288+I289+I291+I292+I293+I294+I295+I296+I298+I300+I301+I302+I304+I211</f>
        <v>60313674.998000003</v>
      </c>
      <c r="J16" s="264"/>
      <c r="K16" s="264"/>
    </row>
    <row r="17" spans="1:10">
      <c r="A17" s="1088" t="s">
        <v>377</v>
      </c>
      <c r="B17" s="1088"/>
      <c r="C17" s="1089"/>
      <c r="D17" s="315"/>
      <c r="E17" s="315"/>
      <c r="F17" s="315"/>
      <c r="G17" s="315"/>
      <c r="H17" s="315"/>
      <c r="I17" s="315"/>
    </row>
    <row r="18" spans="1:10">
      <c r="A18" s="316" t="s">
        <v>381</v>
      </c>
      <c r="B18" s="317" t="s">
        <v>187</v>
      </c>
      <c r="C18" s="318" t="s">
        <v>232</v>
      </c>
      <c r="D18" s="319" t="e">
        <f>D19+D23+D25+D28+D34+D39+D49+D52+D60+D65+D67+D70+D72</f>
        <v>#REF!</v>
      </c>
      <c r="E18" s="319" t="e">
        <f>E19+E23+E25+E28+E34+E39+E49+E52+E60+E65+E67+E70+E72</f>
        <v>#REF!</v>
      </c>
      <c r="F18" s="319"/>
      <c r="G18" s="319">
        <f>G19+G23+G25+G28+G34+G39+G49+G52+G60+G65+G67+G70+G72+G63</f>
        <v>17914712</v>
      </c>
      <c r="H18" s="319">
        <f>H19+H23+H25+H28+H34+H39+H49+H52+H60+H65+H67+H70+H72+H63</f>
        <v>17829164</v>
      </c>
      <c r="I18" s="319">
        <f>I19+I23+I25+I28+I34+I39+I49+I52+I60+I65+I67+I70+I72+I63</f>
        <v>18524164</v>
      </c>
    </row>
    <row r="19" spans="1:10">
      <c r="A19" s="320" t="s">
        <v>1</v>
      </c>
      <c r="B19" s="321" t="s">
        <v>2</v>
      </c>
      <c r="C19" s="334" t="s">
        <v>232</v>
      </c>
      <c r="D19" s="323">
        <f>D20+D22+D21</f>
        <v>1238919.6299999999</v>
      </c>
      <c r="E19" s="323">
        <f>E20+E22+E21</f>
        <v>1238919</v>
      </c>
      <c r="F19" s="323"/>
      <c r="G19" s="323">
        <f t="shared" ref="G19:I19" si="10">SUM(G20:G22)</f>
        <v>8675456</v>
      </c>
      <c r="H19" s="323">
        <f t="shared" si="10"/>
        <v>9017920</v>
      </c>
      <c r="I19" s="323">
        <f t="shared" si="10"/>
        <v>9551040</v>
      </c>
    </row>
    <row r="20" spans="1:10">
      <c r="A20" s="324" t="s">
        <v>3</v>
      </c>
      <c r="B20" s="325" t="s">
        <v>4</v>
      </c>
      <c r="C20" s="334" t="s">
        <v>232</v>
      </c>
      <c r="D20" s="327">
        <v>981776.76</v>
      </c>
      <c r="E20" s="327">
        <v>981776</v>
      </c>
      <c r="F20" s="326" t="s">
        <v>0</v>
      </c>
      <c r="G20" s="341">
        <v>8491732</v>
      </c>
      <c r="H20" s="341">
        <v>8834196</v>
      </c>
      <c r="I20" s="341">
        <v>9367316</v>
      </c>
    </row>
    <row r="21" spans="1:10">
      <c r="A21" s="324">
        <v>3112</v>
      </c>
      <c r="B21" s="325" t="s">
        <v>150</v>
      </c>
      <c r="C21" s="334" t="s">
        <v>232</v>
      </c>
      <c r="D21" s="327">
        <v>0</v>
      </c>
      <c r="E21" s="328">
        <v>-50492</v>
      </c>
      <c r="F21" s="326" t="s">
        <v>0</v>
      </c>
      <c r="G21" s="341">
        <v>0</v>
      </c>
      <c r="H21" s="341">
        <v>0</v>
      </c>
      <c r="I21" s="341">
        <v>0</v>
      </c>
      <c r="J21" s="22"/>
    </row>
    <row r="22" spans="1:10">
      <c r="A22" s="324" t="s">
        <v>5</v>
      </c>
      <c r="B22" s="325" t="s">
        <v>6</v>
      </c>
      <c r="C22" s="334" t="s">
        <v>232</v>
      </c>
      <c r="D22" s="327">
        <f>307635.23-50492.36</f>
        <v>257142.87</v>
      </c>
      <c r="E22" s="328">
        <v>307635</v>
      </c>
      <c r="F22" s="326" t="s">
        <v>0</v>
      </c>
      <c r="G22" s="341">
        <v>183724</v>
      </c>
      <c r="H22" s="341">
        <v>183724</v>
      </c>
      <c r="I22" s="341">
        <v>183724</v>
      </c>
    </row>
    <row r="23" spans="1:10">
      <c r="A23" s="320" t="s">
        <v>7</v>
      </c>
      <c r="B23" s="321" t="s">
        <v>8</v>
      </c>
      <c r="C23" s="334" t="s">
        <v>232</v>
      </c>
      <c r="D23" s="323">
        <f>D24</f>
        <v>76022.52</v>
      </c>
      <c r="E23" s="323">
        <f>E24</f>
        <v>76022</v>
      </c>
      <c r="F23" s="323"/>
      <c r="G23" s="323">
        <f t="shared" ref="G23:I23" si="11">G24</f>
        <v>360000</v>
      </c>
      <c r="H23" s="323">
        <f t="shared" si="11"/>
        <v>370000</v>
      </c>
      <c r="I23" s="323">
        <f t="shared" si="11"/>
        <v>380000</v>
      </c>
    </row>
    <row r="24" spans="1:10">
      <c r="A24" s="324" t="s">
        <v>9</v>
      </c>
      <c r="B24" s="325" t="s">
        <v>8</v>
      </c>
      <c r="C24" s="334" t="s">
        <v>232</v>
      </c>
      <c r="D24" s="327">
        <v>76022.52</v>
      </c>
      <c r="E24" s="327">
        <v>76022</v>
      </c>
      <c r="F24" s="326" t="s">
        <v>0</v>
      </c>
      <c r="G24" s="341">
        <v>360000</v>
      </c>
      <c r="H24" s="341">
        <v>370000</v>
      </c>
      <c r="I24" s="341">
        <v>380000</v>
      </c>
    </row>
    <row r="25" spans="1:10">
      <c r="A25" s="320" t="s">
        <v>10</v>
      </c>
      <c r="B25" s="321" t="s">
        <v>11</v>
      </c>
      <c r="C25" s="334" t="s">
        <v>232</v>
      </c>
      <c r="D25" s="323">
        <f>D26+D27</f>
        <v>438359.37</v>
      </c>
      <c r="E25" s="323">
        <f>E26+E27</f>
        <v>438358</v>
      </c>
      <c r="F25" s="323"/>
      <c r="G25" s="323">
        <f t="shared" ref="G25:I25" si="12">G26+G27</f>
        <v>1448708</v>
      </c>
      <c r="H25" s="323">
        <f t="shared" si="12"/>
        <v>1517244</v>
      </c>
      <c r="I25" s="323">
        <f t="shared" si="12"/>
        <v>1584124</v>
      </c>
    </row>
    <row r="26" spans="1:10">
      <c r="A26" s="324" t="s">
        <v>12</v>
      </c>
      <c r="B26" s="325" t="s">
        <v>13</v>
      </c>
      <c r="C26" s="334" t="s">
        <v>232</v>
      </c>
      <c r="D26" s="327">
        <v>395032.6</v>
      </c>
      <c r="E26" s="327">
        <v>395032</v>
      </c>
      <c r="F26" s="326" t="s">
        <v>0</v>
      </c>
      <c r="G26" s="341">
        <v>1304708</v>
      </c>
      <c r="H26" s="341">
        <v>1360598</v>
      </c>
      <c r="I26" s="341">
        <v>1416798</v>
      </c>
    </row>
    <row r="27" spans="1:10">
      <c r="A27" s="324" t="s">
        <v>14</v>
      </c>
      <c r="B27" s="325" t="s">
        <v>293</v>
      </c>
      <c r="C27" s="334" t="s">
        <v>232</v>
      </c>
      <c r="D27" s="327">
        <v>43326.77</v>
      </c>
      <c r="E27" s="327">
        <v>43326</v>
      </c>
      <c r="F27" s="326" t="s">
        <v>0</v>
      </c>
      <c r="G27" s="341">
        <v>144000</v>
      </c>
      <c r="H27" s="341">
        <v>156646</v>
      </c>
      <c r="I27" s="341">
        <v>167326</v>
      </c>
    </row>
    <row r="28" spans="1:10">
      <c r="A28" s="320" t="s">
        <v>16</v>
      </c>
      <c r="B28" s="321" t="s">
        <v>17</v>
      </c>
      <c r="C28" s="334" t="s">
        <v>232</v>
      </c>
      <c r="D28" s="323">
        <f>SUM(D29:D33)</f>
        <v>341987.75</v>
      </c>
      <c r="E28" s="323">
        <f>SUM(E29:E33)</f>
        <v>341986</v>
      </c>
      <c r="F28" s="323"/>
      <c r="G28" s="323">
        <f t="shared" ref="G28:I28" si="13">SUM(G29:G33)</f>
        <v>805548</v>
      </c>
      <c r="H28" s="323">
        <f t="shared" si="13"/>
        <v>835000</v>
      </c>
      <c r="I28" s="323">
        <f t="shared" si="13"/>
        <v>885000</v>
      </c>
    </row>
    <row r="29" spans="1:10">
      <c r="A29" s="324" t="s">
        <v>18</v>
      </c>
      <c r="B29" s="325" t="s">
        <v>19</v>
      </c>
      <c r="C29" s="334" t="s">
        <v>232</v>
      </c>
      <c r="D29" s="327">
        <v>22286.79</v>
      </c>
      <c r="E29" s="327">
        <v>22286</v>
      </c>
      <c r="F29" s="326" t="s">
        <v>0</v>
      </c>
      <c r="G29" s="341">
        <v>200000</v>
      </c>
      <c r="H29" s="341">
        <v>200000</v>
      </c>
      <c r="I29" s="341">
        <v>200000</v>
      </c>
    </row>
    <row r="30" spans="1:10">
      <c r="A30" s="324" t="s">
        <v>20</v>
      </c>
      <c r="B30" s="325" t="s">
        <v>21</v>
      </c>
      <c r="C30" s="334" t="s">
        <v>232</v>
      </c>
      <c r="D30" s="327">
        <v>235192.39</v>
      </c>
      <c r="E30" s="327">
        <v>235192</v>
      </c>
      <c r="F30" s="326" t="s">
        <v>0</v>
      </c>
      <c r="G30" s="341">
        <v>500000</v>
      </c>
      <c r="H30" s="341">
        <v>550000</v>
      </c>
      <c r="I30" s="341">
        <v>600000</v>
      </c>
    </row>
    <row r="31" spans="1:10">
      <c r="A31" s="324" t="s">
        <v>22</v>
      </c>
      <c r="B31" s="325" t="s">
        <v>23</v>
      </c>
      <c r="C31" s="334" t="s">
        <v>232</v>
      </c>
      <c r="D31" s="327">
        <v>57306.57</v>
      </c>
      <c r="E31" s="327">
        <v>57306</v>
      </c>
      <c r="F31" s="326" t="s">
        <v>0</v>
      </c>
      <c r="G31" s="341">
        <v>70000</v>
      </c>
      <c r="H31" s="341">
        <v>70000</v>
      </c>
      <c r="I31" s="341">
        <v>70000</v>
      </c>
    </row>
    <row r="32" spans="1:10">
      <c r="A32" s="324" t="s">
        <v>22</v>
      </c>
      <c r="B32" s="325" t="s">
        <v>23</v>
      </c>
      <c r="C32" s="334" t="s">
        <v>232</v>
      </c>
      <c r="D32" s="327">
        <v>0</v>
      </c>
      <c r="E32" s="327">
        <v>0</v>
      </c>
      <c r="F32" s="326" t="s">
        <v>272</v>
      </c>
      <c r="G32" s="341">
        <v>20548</v>
      </c>
      <c r="H32" s="341">
        <v>0</v>
      </c>
      <c r="I32" s="341">
        <v>0</v>
      </c>
    </row>
    <row r="33" spans="1:9">
      <c r="A33" s="324">
        <v>3214</v>
      </c>
      <c r="B33" s="325" t="s">
        <v>335</v>
      </c>
      <c r="C33" s="334" t="s">
        <v>232</v>
      </c>
      <c r="D33" s="327">
        <v>27202</v>
      </c>
      <c r="E33" s="327">
        <v>27202</v>
      </c>
      <c r="F33" s="326" t="s">
        <v>0</v>
      </c>
      <c r="G33" s="341">
        <v>15000</v>
      </c>
      <c r="H33" s="341">
        <v>15000</v>
      </c>
      <c r="I33" s="341">
        <v>15000</v>
      </c>
    </row>
    <row r="34" spans="1:9">
      <c r="A34" s="320" t="s">
        <v>24</v>
      </c>
      <c r="B34" s="321" t="s">
        <v>25</v>
      </c>
      <c r="C34" s="334" t="s">
        <v>232</v>
      </c>
      <c r="D34" s="323">
        <f>SUM(D35:D38)</f>
        <v>253555.38</v>
      </c>
      <c r="E34" s="323">
        <f>SUM(E35:E38)</f>
        <v>253554</v>
      </c>
      <c r="F34" s="323"/>
      <c r="G34" s="323">
        <f>SUM(G35:G38)</f>
        <v>925000</v>
      </c>
      <c r="H34" s="323">
        <f>SUM(H35:H38)</f>
        <v>925000</v>
      </c>
      <c r="I34" s="323">
        <f>SUM(I35:I38)</f>
        <v>925000</v>
      </c>
    </row>
    <row r="35" spans="1:9">
      <c r="A35" s="324" t="s">
        <v>26</v>
      </c>
      <c r="B35" s="325" t="s">
        <v>27</v>
      </c>
      <c r="C35" s="334" t="s">
        <v>232</v>
      </c>
      <c r="D35" s="327">
        <v>98217.05</v>
      </c>
      <c r="E35" s="327">
        <v>98217</v>
      </c>
      <c r="F35" s="326" t="s">
        <v>0</v>
      </c>
      <c r="G35" s="341">
        <v>225000</v>
      </c>
      <c r="H35" s="341">
        <v>225000</v>
      </c>
      <c r="I35" s="341">
        <v>225000</v>
      </c>
    </row>
    <row r="36" spans="1:9">
      <c r="A36" s="324" t="s">
        <v>28</v>
      </c>
      <c r="B36" s="330" t="s">
        <v>29</v>
      </c>
      <c r="C36" s="334" t="s">
        <v>232</v>
      </c>
      <c r="D36" s="327">
        <v>123968.54</v>
      </c>
      <c r="E36" s="327">
        <v>123968</v>
      </c>
      <c r="F36" s="326" t="s">
        <v>0</v>
      </c>
      <c r="G36" s="341">
        <v>660000</v>
      </c>
      <c r="H36" s="341">
        <v>660000</v>
      </c>
      <c r="I36" s="341">
        <v>660000</v>
      </c>
    </row>
    <row r="37" spans="1:9">
      <c r="A37" s="324" t="s">
        <v>30</v>
      </c>
      <c r="B37" s="325" t="s">
        <v>31</v>
      </c>
      <c r="C37" s="334" t="s">
        <v>232</v>
      </c>
      <c r="D37" s="327">
        <v>17878.349999999999</v>
      </c>
      <c r="E37" s="327">
        <v>17878</v>
      </c>
      <c r="F37" s="326" t="s">
        <v>0</v>
      </c>
      <c r="G37" s="341">
        <v>20000</v>
      </c>
      <c r="H37" s="341">
        <v>20000</v>
      </c>
      <c r="I37" s="341">
        <v>20000</v>
      </c>
    </row>
    <row r="38" spans="1:9">
      <c r="A38" s="324" t="s">
        <v>32</v>
      </c>
      <c r="B38" s="325" t="s">
        <v>33</v>
      </c>
      <c r="C38" s="334" t="s">
        <v>232</v>
      </c>
      <c r="D38" s="327">
        <v>13491.44</v>
      </c>
      <c r="E38" s="327">
        <v>13491</v>
      </c>
      <c r="F38" s="326" t="s">
        <v>0</v>
      </c>
      <c r="G38" s="341">
        <v>20000</v>
      </c>
      <c r="H38" s="341">
        <v>20000</v>
      </c>
      <c r="I38" s="341">
        <v>20000</v>
      </c>
    </row>
    <row r="39" spans="1:9">
      <c r="A39" s="320" t="s">
        <v>34</v>
      </c>
      <c r="B39" s="321" t="s">
        <v>35</v>
      </c>
      <c r="C39" s="334" t="s">
        <v>232</v>
      </c>
      <c r="D39" s="323" t="e">
        <f>D40+D41+D42+D43+D44+D45+D46+D47+D48+#REF!</f>
        <v>#REF!</v>
      </c>
      <c r="E39" s="323" t="e">
        <f>E40+E41+E42+E43+E44+E45+E46+E47+E48+#REF!</f>
        <v>#REF!</v>
      </c>
      <c r="F39" s="323"/>
      <c r="G39" s="323">
        <f>G40+G41+G42+G43+G44+G45+G46+G47+G48</f>
        <v>3958000</v>
      </c>
      <c r="H39" s="323">
        <f>H40+H41+H42+H43+H44+H45+H46+H47+H48</f>
        <v>3962000</v>
      </c>
      <c r="I39" s="323">
        <f>I40+I41+I42+I43+I44+I45+I46+I47+I48</f>
        <v>3992000</v>
      </c>
    </row>
    <row r="40" spans="1:9">
      <c r="A40" s="324" t="s">
        <v>36</v>
      </c>
      <c r="B40" s="325" t="s">
        <v>37</v>
      </c>
      <c r="C40" s="334" t="s">
        <v>232</v>
      </c>
      <c r="D40" s="327">
        <v>206690.43</v>
      </c>
      <c r="E40" s="327">
        <v>206690</v>
      </c>
      <c r="F40" s="326" t="s">
        <v>0</v>
      </c>
      <c r="G40" s="341">
        <v>539000</v>
      </c>
      <c r="H40" s="341">
        <v>550000</v>
      </c>
      <c r="I40" s="341">
        <v>570000</v>
      </c>
    </row>
    <row r="41" spans="1:9">
      <c r="A41" s="324" t="s">
        <v>38</v>
      </c>
      <c r="B41" s="325" t="s">
        <v>39</v>
      </c>
      <c r="C41" s="334" t="s">
        <v>232</v>
      </c>
      <c r="D41" s="327">
        <v>0</v>
      </c>
      <c r="E41" s="328">
        <v>-79057</v>
      </c>
      <c r="F41" s="326" t="s">
        <v>0</v>
      </c>
      <c r="G41" s="341">
        <v>825000</v>
      </c>
      <c r="H41" s="341">
        <v>830000</v>
      </c>
      <c r="I41" s="341">
        <v>835000</v>
      </c>
    </row>
    <row r="42" spans="1:9">
      <c r="A42" s="324" t="s">
        <v>40</v>
      </c>
      <c r="B42" s="325" t="s">
        <v>41</v>
      </c>
      <c r="C42" s="334" t="s">
        <v>232</v>
      </c>
      <c r="D42" s="327">
        <v>133373.04999999999</v>
      </c>
      <c r="E42" s="327">
        <v>133373</v>
      </c>
      <c r="F42" s="326" t="s">
        <v>0</v>
      </c>
      <c r="G42" s="341">
        <v>400000</v>
      </c>
      <c r="H42" s="341">
        <v>380000</v>
      </c>
      <c r="I42" s="341">
        <v>380000</v>
      </c>
    </row>
    <row r="43" spans="1:9">
      <c r="A43" s="324" t="s">
        <v>42</v>
      </c>
      <c r="B43" s="325" t="s">
        <v>43</v>
      </c>
      <c r="C43" s="334" t="s">
        <v>232</v>
      </c>
      <c r="D43" s="327">
        <v>323548.93</v>
      </c>
      <c r="E43" s="327">
        <v>323548</v>
      </c>
      <c r="F43" s="326" t="s">
        <v>0</v>
      </c>
      <c r="G43" s="341">
        <v>630000</v>
      </c>
      <c r="H43" s="341">
        <v>630000</v>
      </c>
      <c r="I43" s="341">
        <v>630000</v>
      </c>
    </row>
    <row r="44" spans="1:9">
      <c r="A44" s="324" t="s">
        <v>44</v>
      </c>
      <c r="B44" s="325" t="s">
        <v>45</v>
      </c>
      <c r="C44" s="334" t="s">
        <v>232</v>
      </c>
      <c r="D44" s="327">
        <v>193107.18</v>
      </c>
      <c r="E44" s="327">
        <v>193107</v>
      </c>
      <c r="F44" s="326" t="s">
        <v>0</v>
      </c>
      <c r="G44" s="341">
        <v>420000</v>
      </c>
      <c r="H44" s="341">
        <v>420000</v>
      </c>
      <c r="I44" s="341">
        <v>420000</v>
      </c>
    </row>
    <row r="45" spans="1:9">
      <c r="A45" s="324" t="s">
        <v>46</v>
      </c>
      <c r="B45" s="325" t="s">
        <v>47</v>
      </c>
      <c r="C45" s="334" t="s">
        <v>232</v>
      </c>
      <c r="D45" s="327">
        <v>0</v>
      </c>
      <c r="E45" s="328">
        <v>-5340</v>
      </c>
      <c r="F45" s="326" t="s">
        <v>0</v>
      </c>
      <c r="G45" s="341">
        <v>47000</v>
      </c>
      <c r="H45" s="341">
        <v>47000</v>
      </c>
      <c r="I45" s="341">
        <v>47000</v>
      </c>
    </row>
    <row r="46" spans="1:9">
      <c r="A46" s="324" t="s">
        <v>48</v>
      </c>
      <c r="B46" s="325" t="s">
        <v>49</v>
      </c>
      <c r="C46" s="334" t="s">
        <v>232</v>
      </c>
      <c r="D46" s="327">
        <f>880223.63-79057.34-5340</f>
        <v>795826.29</v>
      </c>
      <c r="E46" s="328">
        <v>880223</v>
      </c>
      <c r="F46" s="326" t="s">
        <v>0</v>
      </c>
      <c r="G46" s="472">
        <v>400000</v>
      </c>
      <c r="H46" s="472">
        <v>400000</v>
      </c>
      <c r="I46" s="472">
        <v>400000</v>
      </c>
    </row>
    <row r="47" spans="1:9">
      <c r="A47" s="324" t="s">
        <v>50</v>
      </c>
      <c r="B47" s="325" t="s">
        <v>51</v>
      </c>
      <c r="C47" s="334" t="s">
        <v>232</v>
      </c>
      <c r="D47" s="327">
        <v>21033.49</v>
      </c>
      <c r="E47" s="327">
        <v>21033</v>
      </c>
      <c r="F47" s="326" t="s">
        <v>0</v>
      </c>
      <c r="G47" s="341">
        <v>382000</v>
      </c>
      <c r="H47" s="341">
        <v>390000</v>
      </c>
      <c r="I47" s="341">
        <v>395000</v>
      </c>
    </row>
    <row r="48" spans="1:9">
      <c r="A48" s="324" t="s">
        <v>52</v>
      </c>
      <c r="B48" s="325" t="s">
        <v>53</v>
      </c>
      <c r="C48" s="334" t="s">
        <v>232</v>
      </c>
      <c r="D48" s="327">
        <v>161701.15</v>
      </c>
      <c r="E48" s="327">
        <v>161701</v>
      </c>
      <c r="F48" s="326" t="s">
        <v>0</v>
      </c>
      <c r="G48" s="341">
        <v>315000</v>
      </c>
      <c r="H48" s="341">
        <v>315000</v>
      </c>
      <c r="I48" s="341">
        <v>315000</v>
      </c>
    </row>
    <row r="49" spans="1:12">
      <c r="A49" s="320" t="s">
        <v>54</v>
      </c>
      <c r="B49" s="321" t="s">
        <v>55</v>
      </c>
      <c r="C49" s="334" t="s">
        <v>232</v>
      </c>
      <c r="D49" s="323">
        <f>SUM(D50:D51)</f>
        <v>20803.060000000001</v>
      </c>
      <c r="E49" s="323">
        <f>SUM(E50:E51)</f>
        <v>-62</v>
      </c>
      <c r="F49" s="323"/>
      <c r="G49" s="323">
        <f t="shared" ref="G49:I49" si="14">SUM(G50:G51)</f>
        <v>10000</v>
      </c>
      <c r="H49" s="323">
        <f t="shared" si="14"/>
        <v>10000</v>
      </c>
      <c r="I49" s="323">
        <f t="shared" si="14"/>
        <v>10000</v>
      </c>
    </row>
    <row r="50" spans="1:12">
      <c r="A50" s="324" t="s">
        <v>56</v>
      </c>
      <c r="B50" s="325" t="s">
        <v>55</v>
      </c>
      <c r="C50" s="334" t="s">
        <v>232</v>
      </c>
      <c r="D50" s="327">
        <v>20803.060000000001</v>
      </c>
      <c r="E50" s="327">
        <v>20803</v>
      </c>
      <c r="F50" s="326" t="s">
        <v>0</v>
      </c>
      <c r="G50" s="341">
        <v>10000</v>
      </c>
      <c r="H50" s="341">
        <v>10000</v>
      </c>
      <c r="I50" s="341">
        <v>10000</v>
      </c>
    </row>
    <row r="51" spans="1:12">
      <c r="A51" s="329">
        <v>3241</v>
      </c>
      <c r="B51" s="524" t="s">
        <v>55</v>
      </c>
      <c r="C51" s="525" t="s">
        <v>232</v>
      </c>
      <c r="D51" s="526">
        <v>0</v>
      </c>
      <c r="E51" s="526">
        <v>-20865</v>
      </c>
      <c r="F51" s="527" t="s">
        <v>264</v>
      </c>
      <c r="G51" s="528"/>
      <c r="H51" s="528"/>
      <c r="I51" s="528"/>
    </row>
    <row r="52" spans="1:12">
      <c r="A52" s="320" t="s">
        <v>57</v>
      </c>
      <c r="B52" s="321" t="s">
        <v>58</v>
      </c>
      <c r="C52" s="334" t="s">
        <v>232</v>
      </c>
      <c r="D52" s="323" t="e">
        <f>D53+D54+D55+D56+D57+D59+#REF!+D58</f>
        <v>#REF!</v>
      </c>
      <c r="E52" s="323" t="e">
        <f>E53+E54+E55+E56+E57+E59+#REF!+E58</f>
        <v>#REF!</v>
      </c>
      <c r="F52" s="323"/>
      <c r="G52" s="323">
        <f>G53+G54+G55+G56+G57+G59+G58</f>
        <v>582000</v>
      </c>
      <c r="H52" s="323">
        <f t="shared" ref="H52:I52" si="15">H53+H54+H55+H56+H57+H59+H58</f>
        <v>587000</v>
      </c>
      <c r="I52" s="323">
        <f t="shared" si="15"/>
        <v>592000</v>
      </c>
    </row>
    <row r="53" spans="1:12">
      <c r="A53" s="324" t="s">
        <v>59</v>
      </c>
      <c r="B53" s="325" t="s">
        <v>60</v>
      </c>
      <c r="C53" s="334" t="s">
        <v>232</v>
      </c>
      <c r="D53" s="327">
        <v>60830.77</v>
      </c>
      <c r="E53" s="327">
        <v>60830</v>
      </c>
      <c r="F53" s="326" t="s">
        <v>0</v>
      </c>
      <c r="G53" s="341">
        <v>20000</v>
      </c>
      <c r="H53" s="341">
        <v>25000</v>
      </c>
      <c r="I53" s="341">
        <v>30000</v>
      </c>
    </row>
    <row r="54" spans="1:12">
      <c r="A54" s="324" t="s">
        <v>61</v>
      </c>
      <c r="B54" s="325" t="s">
        <v>62</v>
      </c>
      <c r="C54" s="334" t="s">
        <v>232</v>
      </c>
      <c r="D54" s="327">
        <v>18125.509999999998</v>
      </c>
      <c r="E54" s="327">
        <v>18125</v>
      </c>
      <c r="F54" s="326" t="s">
        <v>0</v>
      </c>
      <c r="G54" s="341">
        <v>22000</v>
      </c>
      <c r="H54" s="341">
        <v>22000</v>
      </c>
      <c r="I54" s="341">
        <v>22000</v>
      </c>
    </row>
    <row r="55" spans="1:12">
      <c r="A55" s="324" t="s">
        <v>63</v>
      </c>
      <c r="B55" s="325" t="s">
        <v>64</v>
      </c>
      <c r="C55" s="334" t="s">
        <v>232</v>
      </c>
      <c r="D55" s="327">
        <v>14916.44</v>
      </c>
      <c r="E55" s="327">
        <v>14916</v>
      </c>
      <c r="F55" s="326" t="s">
        <v>0</v>
      </c>
      <c r="G55" s="341">
        <v>100000</v>
      </c>
      <c r="H55" s="341">
        <v>100000</v>
      </c>
      <c r="I55" s="341">
        <v>100000</v>
      </c>
    </row>
    <row r="56" spans="1:12">
      <c r="A56" s="324" t="s">
        <v>65</v>
      </c>
      <c r="B56" s="325" t="s">
        <v>66</v>
      </c>
      <c r="C56" s="334" t="s">
        <v>232</v>
      </c>
      <c r="D56" s="327">
        <v>25340.55</v>
      </c>
      <c r="E56" s="327">
        <v>25340</v>
      </c>
      <c r="F56" s="326" t="s">
        <v>0</v>
      </c>
      <c r="G56" s="341">
        <v>170000</v>
      </c>
      <c r="H56" s="341">
        <v>170000</v>
      </c>
      <c r="I56" s="341">
        <v>170000</v>
      </c>
    </row>
    <row r="57" spans="1:12">
      <c r="A57" s="324" t="s">
        <v>67</v>
      </c>
      <c r="B57" s="325" t="s">
        <v>68</v>
      </c>
      <c r="C57" s="334" t="s">
        <v>232</v>
      </c>
      <c r="D57" s="327">
        <v>0</v>
      </c>
      <c r="E57" s="328">
        <v>-4641</v>
      </c>
      <c r="F57" s="326" t="s">
        <v>0</v>
      </c>
      <c r="G57" s="341">
        <v>60000</v>
      </c>
      <c r="H57" s="341">
        <v>60000</v>
      </c>
      <c r="I57" s="341">
        <v>60000</v>
      </c>
    </row>
    <row r="58" spans="1:12">
      <c r="A58" s="324">
        <v>3296</v>
      </c>
      <c r="B58" s="325" t="s">
        <v>106</v>
      </c>
      <c r="C58" s="334" t="s">
        <v>232</v>
      </c>
      <c r="D58" s="327">
        <f>25000-4641.17</f>
        <v>20358.830000000002</v>
      </c>
      <c r="E58" s="328">
        <v>25000</v>
      </c>
      <c r="F58" s="326" t="s">
        <v>0</v>
      </c>
      <c r="G58" s="341">
        <v>200000</v>
      </c>
      <c r="H58" s="341">
        <v>200000</v>
      </c>
      <c r="I58" s="341">
        <v>200000</v>
      </c>
    </row>
    <row r="59" spans="1:12">
      <c r="A59" s="324" t="s">
        <v>69</v>
      </c>
      <c r="B59" s="325" t="s">
        <v>58</v>
      </c>
      <c r="C59" s="334" t="s">
        <v>232</v>
      </c>
      <c r="D59" s="327">
        <v>2760.08</v>
      </c>
      <c r="E59" s="327">
        <v>2760</v>
      </c>
      <c r="F59" s="326" t="s">
        <v>0</v>
      </c>
      <c r="G59" s="341">
        <v>10000</v>
      </c>
      <c r="H59" s="341">
        <v>10000</v>
      </c>
      <c r="I59" s="341">
        <v>10000</v>
      </c>
    </row>
    <row r="60" spans="1:12">
      <c r="A60" s="320" t="s">
        <v>70</v>
      </c>
      <c r="B60" s="321" t="s">
        <v>71</v>
      </c>
      <c r="C60" s="334" t="s">
        <v>232</v>
      </c>
      <c r="D60" s="323">
        <f>SUM(D61:D62)</f>
        <v>1054.3599999999999</v>
      </c>
      <c r="E60" s="323">
        <f>SUM(E61:E62)</f>
        <v>1054</v>
      </c>
      <c r="F60" s="323"/>
      <c r="G60" s="323">
        <f>SUM(G61:G62)</f>
        <v>5000</v>
      </c>
      <c r="H60" s="323">
        <f>SUM(H61:H62)</f>
        <v>5000</v>
      </c>
      <c r="I60" s="323">
        <f>SUM(I61:I62)</f>
        <v>5000</v>
      </c>
    </row>
    <row r="61" spans="1:12">
      <c r="A61" s="324" t="s">
        <v>72</v>
      </c>
      <c r="B61" s="325" t="s">
        <v>73</v>
      </c>
      <c r="C61" s="334" t="s">
        <v>232</v>
      </c>
      <c r="D61" s="327">
        <v>1054.3599999999999</v>
      </c>
      <c r="E61" s="327">
        <v>1054</v>
      </c>
      <c r="F61" s="326" t="s">
        <v>0</v>
      </c>
      <c r="G61" s="341">
        <v>5000</v>
      </c>
      <c r="H61" s="341">
        <v>5000</v>
      </c>
      <c r="I61" s="341">
        <v>5000</v>
      </c>
    </row>
    <row r="62" spans="1:12">
      <c r="A62" s="324" t="s">
        <v>76</v>
      </c>
      <c r="B62" s="325" t="s">
        <v>336</v>
      </c>
      <c r="C62" s="334" t="s">
        <v>232</v>
      </c>
      <c r="D62" s="327">
        <v>0</v>
      </c>
      <c r="E62" s="327">
        <v>0</v>
      </c>
      <c r="F62" s="326" t="s">
        <v>0</v>
      </c>
      <c r="G62" s="341">
        <v>0</v>
      </c>
      <c r="H62" s="341">
        <v>0</v>
      </c>
      <c r="I62" s="341">
        <v>0</v>
      </c>
      <c r="J62" s="22"/>
      <c r="K62" s="22"/>
      <c r="L62" s="22"/>
    </row>
    <row r="63" spans="1:12">
      <c r="A63" s="332">
        <v>411</v>
      </c>
      <c r="B63" s="321" t="s">
        <v>426</v>
      </c>
      <c r="C63" s="334" t="s">
        <v>232</v>
      </c>
      <c r="D63" s="327"/>
      <c r="E63" s="327"/>
      <c r="F63" s="326"/>
      <c r="G63" s="331">
        <f>G64</f>
        <v>550000</v>
      </c>
      <c r="H63" s="331">
        <f t="shared" ref="H63:I63" si="16">H64</f>
        <v>0</v>
      </c>
      <c r="I63" s="331">
        <f t="shared" si="16"/>
        <v>0</v>
      </c>
      <c r="J63" s="22"/>
      <c r="K63" s="22"/>
      <c r="L63" s="22"/>
    </row>
    <row r="64" spans="1:12">
      <c r="A64" s="339">
        <v>4111</v>
      </c>
      <c r="B64" s="337" t="s">
        <v>427</v>
      </c>
      <c r="C64" s="334" t="s">
        <v>232</v>
      </c>
      <c r="D64" s="327"/>
      <c r="E64" s="327"/>
      <c r="F64" s="326" t="s">
        <v>0</v>
      </c>
      <c r="G64" s="341">
        <v>550000</v>
      </c>
      <c r="H64" s="341">
        <v>0</v>
      </c>
      <c r="I64" s="341">
        <v>0</v>
      </c>
    </row>
    <row r="65" spans="1:9">
      <c r="A65" s="320" t="s">
        <v>83</v>
      </c>
      <c r="B65" s="321" t="s">
        <v>84</v>
      </c>
      <c r="C65" s="334" t="s">
        <v>232</v>
      </c>
      <c r="D65" s="331">
        <f>SUM(D66)</f>
        <v>56500</v>
      </c>
      <c r="E65" s="331">
        <f>SUM(E66)</f>
        <v>56500</v>
      </c>
      <c r="F65" s="331"/>
      <c r="G65" s="331">
        <f t="shared" ref="G65:I65" si="17">SUM(G66)</f>
        <v>95000</v>
      </c>
      <c r="H65" s="331">
        <f t="shared" si="17"/>
        <v>95000</v>
      </c>
      <c r="I65" s="331">
        <f t="shared" si="17"/>
        <v>95000</v>
      </c>
    </row>
    <row r="66" spans="1:9">
      <c r="A66" s="324" t="s">
        <v>85</v>
      </c>
      <c r="B66" s="325" t="s">
        <v>86</v>
      </c>
      <c r="C66" s="334" t="s">
        <v>232</v>
      </c>
      <c r="D66" s="327">
        <v>56500</v>
      </c>
      <c r="E66" s="327">
        <v>56500</v>
      </c>
      <c r="F66" s="326" t="s">
        <v>0</v>
      </c>
      <c r="G66" s="341">
        <v>95000</v>
      </c>
      <c r="H66" s="341">
        <v>95000</v>
      </c>
      <c r="I66" s="341">
        <v>95000</v>
      </c>
    </row>
    <row r="67" spans="1:9">
      <c r="A67" s="320" t="s">
        <v>88</v>
      </c>
      <c r="B67" s="321" t="s">
        <v>89</v>
      </c>
      <c r="C67" s="334" t="s">
        <v>232</v>
      </c>
      <c r="D67" s="331">
        <f>SUM(D68:D69)</f>
        <v>196142.5</v>
      </c>
      <c r="E67" s="331">
        <f>SUM(E68:E69)</f>
        <v>196142</v>
      </c>
      <c r="F67" s="331"/>
      <c r="G67" s="331">
        <f t="shared" ref="G67:I67" si="18">SUM(G68:G69)</f>
        <v>220000</v>
      </c>
      <c r="H67" s="331">
        <f t="shared" si="18"/>
        <v>225000</v>
      </c>
      <c r="I67" s="331">
        <f t="shared" si="18"/>
        <v>225000</v>
      </c>
    </row>
    <row r="68" spans="1:9">
      <c r="A68" s="324" t="s">
        <v>90</v>
      </c>
      <c r="B68" s="325" t="s">
        <v>91</v>
      </c>
      <c r="C68" s="334" t="s">
        <v>232</v>
      </c>
      <c r="D68" s="327">
        <v>182097.5</v>
      </c>
      <c r="E68" s="327">
        <v>182097</v>
      </c>
      <c r="F68" s="326" t="s">
        <v>0</v>
      </c>
      <c r="G68" s="341">
        <v>200000</v>
      </c>
      <c r="H68" s="341">
        <v>200000</v>
      </c>
      <c r="I68" s="341">
        <v>200000</v>
      </c>
    </row>
    <row r="69" spans="1:9">
      <c r="A69" s="324" t="s">
        <v>92</v>
      </c>
      <c r="B69" s="325" t="s">
        <v>93</v>
      </c>
      <c r="C69" s="334" t="s">
        <v>232</v>
      </c>
      <c r="D69" s="327">
        <v>14045</v>
      </c>
      <c r="E69" s="327">
        <v>14045</v>
      </c>
      <c r="F69" s="326" t="s">
        <v>0</v>
      </c>
      <c r="G69" s="341">
        <v>20000</v>
      </c>
      <c r="H69" s="341">
        <v>25000</v>
      </c>
      <c r="I69" s="341">
        <v>25000</v>
      </c>
    </row>
    <row r="70" spans="1:9">
      <c r="A70" s="332">
        <v>426</v>
      </c>
      <c r="B70" s="321" t="s">
        <v>181</v>
      </c>
      <c r="C70" s="334" t="s">
        <v>232</v>
      </c>
      <c r="D70" s="331">
        <f>SUM(D71)</f>
        <v>217500</v>
      </c>
      <c r="E70" s="331">
        <f>SUM(E71)</f>
        <v>217500</v>
      </c>
      <c r="F70" s="331"/>
      <c r="G70" s="331">
        <f t="shared" ref="G70:I70" si="19">SUM(G71)</f>
        <v>280000</v>
      </c>
      <c r="H70" s="331">
        <f t="shared" si="19"/>
        <v>280000</v>
      </c>
      <c r="I70" s="331">
        <f t="shared" si="19"/>
        <v>280000</v>
      </c>
    </row>
    <row r="71" spans="1:9">
      <c r="A71" s="324">
        <v>4262</v>
      </c>
      <c r="B71" s="325" t="s">
        <v>182</v>
      </c>
      <c r="C71" s="334" t="s">
        <v>232</v>
      </c>
      <c r="D71" s="327">
        <v>217500</v>
      </c>
      <c r="E71" s="327">
        <v>217500</v>
      </c>
      <c r="F71" s="326" t="s">
        <v>0</v>
      </c>
      <c r="G71" s="341">
        <v>280000</v>
      </c>
      <c r="H71" s="341">
        <v>280000</v>
      </c>
      <c r="I71" s="341">
        <v>280000</v>
      </c>
    </row>
    <row r="72" spans="1:9">
      <c r="A72" s="332">
        <v>547</v>
      </c>
      <c r="B72" s="321" t="s">
        <v>337</v>
      </c>
      <c r="C72" s="334" t="s">
        <v>232</v>
      </c>
      <c r="D72" s="331">
        <f>SUM(D73)</f>
        <v>1475122.19</v>
      </c>
      <c r="E72" s="331">
        <f>SUM(E73)</f>
        <v>1475122</v>
      </c>
      <c r="F72" s="331"/>
      <c r="G72" s="331">
        <f t="shared" ref="G72:I72" si="20">SUM(G73)</f>
        <v>0</v>
      </c>
      <c r="H72" s="331">
        <f t="shared" si="20"/>
        <v>0</v>
      </c>
      <c r="I72" s="331">
        <f t="shared" si="20"/>
        <v>0</v>
      </c>
    </row>
    <row r="73" spans="1:9">
      <c r="A73" s="464">
        <v>5471</v>
      </c>
      <c r="B73" s="465" t="s">
        <v>300</v>
      </c>
      <c r="C73" s="334" t="s">
        <v>232</v>
      </c>
      <c r="D73" s="327">
        <v>1475122.19</v>
      </c>
      <c r="E73" s="327">
        <v>1475122</v>
      </c>
      <c r="F73" s="326" t="s">
        <v>0</v>
      </c>
      <c r="G73" s="341">
        <v>0</v>
      </c>
      <c r="H73" s="341">
        <v>0</v>
      </c>
      <c r="I73" s="473">
        <v>0</v>
      </c>
    </row>
    <row r="74" spans="1:9" hidden="1">
      <c r="A74" s="316" t="s">
        <v>338</v>
      </c>
      <c r="B74" s="317" t="s">
        <v>339</v>
      </c>
      <c r="C74" s="318"/>
      <c r="D74" s="319">
        <f>D75+D78</f>
        <v>5000000</v>
      </c>
      <c r="E74" s="319">
        <f>E75+E78</f>
        <v>5000000</v>
      </c>
      <c r="F74" s="319"/>
      <c r="G74" s="319">
        <f t="shared" ref="G74:I74" si="21">G75+G78</f>
        <v>0</v>
      </c>
      <c r="H74" s="319">
        <f t="shared" si="21"/>
        <v>0</v>
      </c>
      <c r="I74" s="319">
        <f t="shared" si="21"/>
        <v>0</v>
      </c>
    </row>
    <row r="75" spans="1:9" hidden="1">
      <c r="A75" s="320" t="s">
        <v>196</v>
      </c>
      <c r="B75" s="321" t="s">
        <v>340</v>
      </c>
      <c r="C75" s="322" t="s">
        <v>326</v>
      </c>
      <c r="D75" s="323">
        <f>SUM(D76:D77)</f>
        <v>0</v>
      </c>
      <c r="E75" s="323">
        <f>SUM(E76:E77)</f>
        <v>0</v>
      </c>
      <c r="F75" s="323"/>
      <c r="G75" s="323">
        <f t="shared" ref="G75:I75" si="22">SUM(G76:G77)</f>
        <v>0</v>
      </c>
      <c r="H75" s="323">
        <f t="shared" si="22"/>
        <v>0</v>
      </c>
      <c r="I75" s="323">
        <f t="shared" si="22"/>
        <v>0</v>
      </c>
    </row>
    <row r="76" spans="1:9" hidden="1">
      <c r="A76" s="324">
        <v>3522</v>
      </c>
      <c r="B76" s="325" t="s">
        <v>198</v>
      </c>
      <c r="C76" s="326" t="s">
        <v>326</v>
      </c>
      <c r="D76" s="327">
        <v>0</v>
      </c>
      <c r="E76" s="327">
        <v>0</v>
      </c>
      <c r="F76" s="326" t="s">
        <v>0</v>
      </c>
      <c r="G76" s="341">
        <v>0</v>
      </c>
      <c r="H76" s="341">
        <v>0</v>
      </c>
      <c r="I76" s="341">
        <v>0</v>
      </c>
    </row>
    <row r="77" spans="1:9" hidden="1">
      <c r="A77" s="324">
        <v>3523</v>
      </c>
      <c r="B77" s="325" t="s">
        <v>341</v>
      </c>
      <c r="C77" s="326" t="s">
        <v>326</v>
      </c>
      <c r="D77" s="327">
        <v>0</v>
      </c>
      <c r="E77" s="327">
        <v>0</v>
      </c>
      <c r="F77" s="326" t="s">
        <v>0</v>
      </c>
      <c r="G77" s="341">
        <v>0</v>
      </c>
      <c r="H77" s="341">
        <v>0</v>
      </c>
      <c r="I77" s="341">
        <v>0</v>
      </c>
    </row>
    <row r="78" spans="1:9" hidden="1">
      <c r="A78" s="320" t="s">
        <v>342</v>
      </c>
      <c r="B78" s="321" t="s">
        <v>343</v>
      </c>
      <c r="C78" s="322" t="s">
        <v>232</v>
      </c>
      <c r="D78" s="323">
        <f>D79+D80</f>
        <v>5000000</v>
      </c>
      <c r="E78" s="323">
        <f>E79+E80</f>
        <v>5000000</v>
      </c>
      <c r="F78" s="323"/>
      <c r="G78" s="323">
        <f t="shared" ref="G78:I78" si="23">G79+G80</f>
        <v>0</v>
      </c>
      <c r="H78" s="323">
        <f t="shared" si="23"/>
        <v>0</v>
      </c>
      <c r="I78" s="323">
        <f t="shared" si="23"/>
        <v>0</v>
      </c>
    </row>
    <row r="79" spans="1:9" hidden="1">
      <c r="A79" s="324">
        <v>5163</v>
      </c>
      <c r="B79" s="325" t="s">
        <v>344</v>
      </c>
      <c r="C79" s="334" t="s">
        <v>232</v>
      </c>
      <c r="D79" s="335">
        <v>4000000</v>
      </c>
      <c r="E79" s="335">
        <v>4000000</v>
      </c>
      <c r="F79" s="334" t="s">
        <v>0</v>
      </c>
      <c r="G79" s="335">
        <v>0</v>
      </c>
      <c r="H79" s="335">
        <v>0</v>
      </c>
      <c r="I79" s="335">
        <v>0</v>
      </c>
    </row>
    <row r="80" spans="1:9" hidden="1">
      <c r="A80" s="324">
        <v>5164</v>
      </c>
      <c r="B80" s="325" t="s">
        <v>345</v>
      </c>
      <c r="C80" s="326" t="s">
        <v>232</v>
      </c>
      <c r="D80" s="327">
        <v>1000000</v>
      </c>
      <c r="E80" s="327">
        <v>1000000</v>
      </c>
      <c r="F80" s="326" t="s">
        <v>0</v>
      </c>
      <c r="G80" s="341">
        <v>0</v>
      </c>
      <c r="H80" s="341">
        <v>0</v>
      </c>
      <c r="I80" s="335">
        <v>0</v>
      </c>
    </row>
    <row r="81" spans="1:12">
      <c r="A81" s="316" t="s">
        <v>382</v>
      </c>
      <c r="B81" s="317" t="s">
        <v>368</v>
      </c>
      <c r="C81" s="318" t="s">
        <v>232</v>
      </c>
      <c r="D81" s="319">
        <f>D82+D85+D90+D92+D95+D97</f>
        <v>6190513.7400000002</v>
      </c>
      <c r="E81" s="319">
        <f>E82+E85+E90+E92+E95+E97</f>
        <v>6190514</v>
      </c>
      <c r="F81" s="319"/>
      <c r="G81" s="319">
        <f>G82+G85+G90+G92+G95+G97</f>
        <v>11875000</v>
      </c>
      <c r="H81" s="319">
        <f t="shared" ref="H81:I81" si="24">H82+H85+H90+H92+H95+H97</f>
        <v>28575000</v>
      </c>
      <c r="I81" s="319">
        <f t="shared" si="24"/>
        <v>27575000</v>
      </c>
      <c r="J81" s="22"/>
      <c r="K81" s="22"/>
      <c r="L81" s="22"/>
    </row>
    <row r="82" spans="1:12">
      <c r="A82" s="320" t="s">
        <v>16</v>
      </c>
      <c r="B82" s="321" t="s">
        <v>17</v>
      </c>
      <c r="C82" s="334" t="s">
        <v>232</v>
      </c>
      <c r="D82" s="323">
        <f>D83+D84</f>
        <v>336887.5</v>
      </c>
      <c r="E82" s="323">
        <f>E83+E84</f>
        <v>336887</v>
      </c>
      <c r="F82" s="323"/>
      <c r="G82" s="323">
        <f t="shared" ref="G82:I82" si="25">G83+G84</f>
        <v>125000</v>
      </c>
      <c r="H82" s="323">
        <f t="shared" si="25"/>
        <v>125000</v>
      </c>
      <c r="I82" s="323">
        <f t="shared" si="25"/>
        <v>125000</v>
      </c>
    </row>
    <row r="83" spans="1:12">
      <c r="A83" s="336" t="s">
        <v>18</v>
      </c>
      <c r="B83" s="337" t="s">
        <v>19</v>
      </c>
      <c r="C83" s="334" t="s">
        <v>232</v>
      </c>
      <c r="D83" s="335">
        <v>236887.5</v>
      </c>
      <c r="E83" s="335">
        <v>236887</v>
      </c>
      <c r="F83" s="334" t="s">
        <v>334</v>
      </c>
      <c r="G83" s="335">
        <v>75000</v>
      </c>
      <c r="H83" s="335">
        <v>75000</v>
      </c>
      <c r="I83" s="335">
        <v>75000</v>
      </c>
    </row>
    <row r="84" spans="1:12">
      <c r="A84" s="336" t="s">
        <v>22</v>
      </c>
      <c r="B84" s="337" t="s">
        <v>23</v>
      </c>
      <c r="C84" s="334" t="s">
        <v>232</v>
      </c>
      <c r="D84" s="335">
        <f>100000</f>
        <v>100000</v>
      </c>
      <c r="E84" s="335">
        <v>100000</v>
      </c>
      <c r="F84" s="334" t="s">
        <v>334</v>
      </c>
      <c r="G84" s="335">
        <v>50000</v>
      </c>
      <c r="H84" s="335">
        <v>50000</v>
      </c>
      <c r="I84" s="335">
        <v>50000</v>
      </c>
    </row>
    <row r="85" spans="1:12">
      <c r="A85" s="320" t="s">
        <v>34</v>
      </c>
      <c r="B85" s="321" t="s">
        <v>35</v>
      </c>
      <c r="C85" s="334" t="s">
        <v>232</v>
      </c>
      <c r="D85" s="323">
        <f>D86+D87+D88+D89</f>
        <v>906875</v>
      </c>
      <c r="E85" s="323">
        <f>E86+E87+E88+E89</f>
        <v>906875</v>
      </c>
      <c r="F85" s="323"/>
      <c r="G85" s="323">
        <f t="shared" ref="G85:I85" si="26">G86+G87+G88+G89</f>
        <v>925000</v>
      </c>
      <c r="H85" s="323">
        <f t="shared" si="26"/>
        <v>875000</v>
      </c>
      <c r="I85" s="323">
        <f t="shared" si="26"/>
        <v>875000</v>
      </c>
    </row>
    <row r="86" spans="1:12">
      <c r="A86" s="336" t="s">
        <v>40</v>
      </c>
      <c r="B86" s="337" t="s">
        <v>41</v>
      </c>
      <c r="C86" s="334" t="s">
        <v>232</v>
      </c>
      <c r="D86" s="335">
        <v>112500</v>
      </c>
      <c r="E86" s="335">
        <v>112500</v>
      </c>
      <c r="F86" s="334" t="s">
        <v>334</v>
      </c>
      <c r="G86" s="335">
        <v>75000</v>
      </c>
      <c r="H86" s="335">
        <v>75000</v>
      </c>
      <c r="I86" s="335">
        <v>75000</v>
      </c>
    </row>
    <row r="87" spans="1:12">
      <c r="A87" s="336" t="s">
        <v>44</v>
      </c>
      <c r="B87" s="337" t="s">
        <v>45</v>
      </c>
      <c r="C87" s="334" t="s">
        <v>232</v>
      </c>
      <c r="D87" s="335">
        <f>975000-180625</f>
        <v>794375</v>
      </c>
      <c r="E87" s="338">
        <v>975000</v>
      </c>
      <c r="F87" s="334" t="s">
        <v>334</v>
      </c>
      <c r="G87" s="335">
        <v>0</v>
      </c>
      <c r="H87" s="335">
        <v>0</v>
      </c>
      <c r="I87" s="335">
        <v>0</v>
      </c>
    </row>
    <row r="88" spans="1:12">
      <c r="A88" s="336" t="s">
        <v>48</v>
      </c>
      <c r="B88" s="337" t="s">
        <v>49</v>
      </c>
      <c r="C88" s="334" t="s">
        <v>232</v>
      </c>
      <c r="D88" s="335">
        <v>0</v>
      </c>
      <c r="E88" s="338">
        <v>-180625</v>
      </c>
      <c r="F88" s="334" t="s">
        <v>334</v>
      </c>
      <c r="G88" s="335">
        <v>850000</v>
      </c>
      <c r="H88" s="335">
        <v>800000</v>
      </c>
      <c r="I88" s="335">
        <v>800000</v>
      </c>
    </row>
    <row r="89" spans="1:12">
      <c r="A89" s="336" t="s">
        <v>52</v>
      </c>
      <c r="B89" s="337" t="s">
        <v>53</v>
      </c>
      <c r="C89" s="334" t="s">
        <v>232</v>
      </c>
      <c r="D89" s="335">
        <v>0</v>
      </c>
      <c r="E89" s="335">
        <v>0</v>
      </c>
      <c r="F89" s="334" t="s">
        <v>334</v>
      </c>
      <c r="G89" s="335">
        <v>0</v>
      </c>
      <c r="H89" s="335">
        <v>0</v>
      </c>
      <c r="I89" s="335">
        <v>0</v>
      </c>
    </row>
    <row r="90" spans="1:12">
      <c r="A90" s="332" t="s">
        <v>54</v>
      </c>
      <c r="B90" s="321" t="s">
        <v>55</v>
      </c>
      <c r="C90" s="334" t="s">
        <v>232</v>
      </c>
      <c r="D90" s="323">
        <f>D91</f>
        <v>150000</v>
      </c>
      <c r="E90" s="323">
        <f>E91</f>
        <v>150000</v>
      </c>
      <c r="F90" s="323"/>
      <c r="G90" s="323">
        <f t="shared" ref="G90:I90" si="27">G91</f>
        <v>75000</v>
      </c>
      <c r="H90" s="323">
        <f t="shared" si="27"/>
        <v>75000</v>
      </c>
      <c r="I90" s="323">
        <f t="shared" si="27"/>
        <v>75000</v>
      </c>
    </row>
    <row r="91" spans="1:12">
      <c r="A91" s="339" t="s">
        <v>56</v>
      </c>
      <c r="B91" s="337" t="s">
        <v>55</v>
      </c>
      <c r="C91" s="334" t="s">
        <v>232</v>
      </c>
      <c r="D91" s="335">
        <v>150000</v>
      </c>
      <c r="E91" s="335">
        <v>150000</v>
      </c>
      <c r="F91" s="334" t="s">
        <v>334</v>
      </c>
      <c r="G91" s="335">
        <v>75000</v>
      </c>
      <c r="H91" s="335">
        <v>75000</v>
      </c>
      <c r="I91" s="335">
        <v>75000</v>
      </c>
    </row>
    <row r="92" spans="1:12">
      <c r="A92" s="332" t="s">
        <v>57</v>
      </c>
      <c r="B92" s="321" t="s">
        <v>58</v>
      </c>
      <c r="C92" s="334" t="s">
        <v>232</v>
      </c>
      <c r="D92" s="323">
        <f>D93+D94</f>
        <v>296751.24</v>
      </c>
      <c r="E92" s="323">
        <f>E93+E94</f>
        <v>296752</v>
      </c>
      <c r="F92" s="323"/>
      <c r="G92" s="323">
        <f t="shared" ref="G92:I92" si="28">G93+G94</f>
        <v>0</v>
      </c>
      <c r="H92" s="323">
        <f t="shared" si="28"/>
        <v>0</v>
      </c>
      <c r="I92" s="335">
        <f t="shared" si="28"/>
        <v>0</v>
      </c>
    </row>
    <row r="93" spans="1:12">
      <c r="A93" s="336" t="s">
        <v>59</v>
      </c>
      <c r="B93" s="337" t="s">
        <v>60</v>
      </c>
      <c r="C93" s="334" t="s">
        <v>232</v>
      </c>
      <c r="D93" s="335">
        <f>300000-3248.76</f>
        <v>296751.24</v>
      </c>
      <c r="E93" s="338">
        <v>300000</v>
      </c>
      <c r="F93" s="334" t="s">
        <v>334</v>
      </c>
      <c r="G93" s="335">
        <v>0</v>
      </c>
      <c r="H93" s="335">
        <v>0</v>
      </c>
      <c r="I93" s="335">
        <v>0</v>
      </c>
    </row>
    <row r="94" spans="1:12">
      <c r="A94" s="336" t="s">
        <v>63</v>
      </c>
      <c r="B94" s="337" t="s">
        <v>64</v>
      </c>
      <c r="C94" s="334" t="s">
        <v>232</v>
      </c>
      <c r="D94" s="335">
        <v>0</v>
      </c>
      <c r="E94" s="338">
        <v>-3248</v>
      </c>
      <c r="F94" s="334" t="s">
        <v>334</v>
      </c>
      <c r="G94" s="335">
        <v>0</v>
      </c>
      <c r="H94" s="335">
        <v>0</v>
      </c>
      <c r="I94" s="335">
        <v>0</v>
      </c>
    </row>
    <row r="95" spans="1:12">
      <c r="A95" s="320" t="s">
        <v>342</v>
      </c>
      <c r="B95" s="321" t="s">
        <v>343</v>
      </c>
      <c r="C95" s="334" t="s">
        <v>232</v>
      </c>
      <c r="D95" s="323">
        <f>D96</f>
        <v>3500000</v>
      </c>
      <c r="E95" s="323">
        <f>E96</f>
        <v>3500000</v>
      </c>
      <c r="F95" s="323"/>
      <c r="G95" s="323">
        <f t="shared" ref="G95:I95" si="29">G96</f>
        <v>4000000</v>
      </c>
      <c r="H95" s="323">
        <f t="shared" si="29"/>
        <v>4500000</v>
      </c>
      <c r="I95" s="323">
        <f t="shared" si="29"/>
        <v>3500000</v>
      </c>
    </row>
    <row r="96" spans="1:12">
      <c r="A96" s="464">
        <v>5163</v>
      </c>
      <c r="B96" s="465" t="s">
        <v>344</v>
      </c>
      <c r="C96" s="334" t="s">
        <v>232</v>
      </c>
      <c r="D96" s="335">
        <v>3500000</v>
      </c>
      <c r="E96" s="335">
        <v>3500000</v>
      </c>
      <c r="F96" s="334" t="s">
        <v>334</v>
      </c>
      <c r="G96" s="335">
        <v>4000000</v>
      </c>
      <c r="H96" s="335">
        <v>4500000</v>
      </c>
      <c r="I96" s="335">
        <v>3500000</v>
      </c>
      <c r="J96" s="22"/>
      <c r="K96" s="22"/>
      <c r="L96" s="22"/>
    </row>
    <row r="97" spans="1:12">
      <c r="A97" s="332">
        <v>534</v>
      </c>
      <c r="B97" s="321" t="s">
        <v>365</v>
      </c>
      <c r="C97" s="334" t="s">
        <v>232</v>
      </c>
      <c r="D97" s="331">
        <f>D98</f>
        <v>1000000</v>
      </c>
      <c r="E97" s="331">
        <f>E98</f>
        <v>1000000</v>
      </c>
      <c r="F97" s="331"/>
      <c r="G97" s="331">
        <f t="shared" ref="G97:I97" si="30">G98</f>
        <v>6750000</v>
      </c>
      <c r="H97" s="331">
        <f t="shared" si="30"/>
        <v>23000000</v>
      </c>
      <c r="I97" s="331">
        <f t="shared" si="30"/>
        <v>23000000</v>
      </c>
    </row>
    <row r="98" spans="1:12">
      <c r="A98" s="467">
        <v>5341</v>
      </c>
      <c r="B98" s="469" t="s">
        <v>365</v>
      </c>
      <c r="C98" s="334" t="s">
        <v>232</v>
      </c>
      <c r="D98" s="341">
        <v>1000000</v>
      </c>
      <c r="E98" s="341">
        <v>1000000</v>
      </c>
      <c r="F98" s="340" t="s">
        <v>334</v>
      </c>
      <c r="G98" s="341">
        <v>6750000</v>
      </c>
      <c r="H98" s="341">
        <v>23000000</v>
      </c>
      <c r="I98" s="341">
        <v>23000000</v>
      </c>
    </row>
    <row r="99" spans="1:12">
      <c r="A99" s="316" t="s">
        <v>383</v>
      </c>
      <c r="B99" s="317" t="s">
        <v>346</v>
      </c>
      <c r="C99" s="318" t="s">
        <v>232</v>
      </c>
      <c r="D99" s="319">
        <f>D100</f>
        <v>11885374.999999998</v>
      </c>
      <c r="E99" s="319">
        <f>E100</f>
        <v>11885375</v>
      </c>
      <c r="F99" s="319"/>
      <c r="G99" s="319">
        <f>G100</f>
        <v>70000000</v>
      </c>
      <c r="H99" s="319">
        <f t="shared" ref="H99:I99" si="31">H100</f>
        <v>80000000</v>
      </c>
      <c r="I99" s="319">
        <f t="shared" si="31"/>
        <v>75000000</v>
      </c>
    </row>
    <row r="100" spans="1:12">
      <c r="A100" s="320" t="s">
        <v>342</v>
      </c>
      <c r="B100" s="321" t="s">
        <v>343</v>
      </c>
      <c r="C100" s="326" t="s">
        <v>232</v>
      </c>
      <c r="D100" s="331">
        <f>D101+D102</f>
        <v>11885374.999999998</v>
      </c>
      <c r="E100" s="331">
        <f>E101+E102</f>
        <v>11885375</v>
      </c>
      <c r="F100" s="331"/>
      <c r="G100" s="331">
        <f t="shared" ref="G100:I100" si="32">G101+G102</f>
        <v>70000000</v>
      </c>
      <c r="H100" s="331">
        <f t="shared" si="32"/>
        <v>80000000</v>
      </c>
      <c r="I100" s="331">
        <f t="shared" si="32"/>
        <v>75000000</v>
      </c>
    </row>
    <row r="101" spans="1:12">
      <c r="A101" s="464">
        <v>5163</v>
      </c>
      <c r="B101" s="465" t="s">
        <v>344</v>
      </c>
      <c r="C101" s="326" t="s">
        <v>232</v>
      </c>
      <c r="D101" s="327">
        <v>10000000</v>
      </c>
      <c r="E101" s="328">
        <v>-8741146</v>
      </c>
      <c r="F101" s="326" t="s">
        <v>0</v>
      </c>
      <c r="G101" s="341">
        <v>30000000</v>
      </c>
      <c r="H101" s="341">
        <v>40000000</v>
      </c>
      <c r="I101" s="341">
        <v>35000000</v>
      </c>
    </row>
    <row r="102" spans="1:12">
      <c r="A102" s="464">
        <v>5164</v>
      </c>
      <c r="B102" s="465" t="s">
        <v>345</v>
      </c>
      <c r="C102" s="326" t="s">
        <v>232</v>
      </c>
      <c r="D102" s="327">
        <f>20626521.15-8741146.15-10000000</f>
        <v>1885374.9999999981</v>
      </c>
      <c r="E102" s="328">
        <v>20626521</v>
      </c>
      <c r="F102" s="326" t="s">
        <v>0</v>
      </c>
      <c r="G102" s="341">
        <v>40000000</v>
      </c>
      <c r="H102" s="341">
        <v>40000000</v>
      </c>
      <c r="I102" s="341">
        <v>40000000</v>
      </c>
    </row>
    <row r="103" spans="1:12">
      <c r="A103" s="316" t="s">
        <v>384</v>
      </c>
      <c r="B103" s="317" t="s">
        <v>358</v>
      </c>
      <c r="C103" s="318" t="s">
        <v>232</v>
      </c>
      <c r="D103" s="319">
        <f>D104+D109+D112+D117+D131+D148+D151+D156+D159+D162+D167+D170+D124</f>
        <v>18656977.130000003</v>
      </c>
      <c r="E103" s="319">
        <f>E104+E109+E112+E117+E131+E148+E151+E156+E159+E162+E167+E170+E124</f>
        <v>22399905</v>
      </c>
      <c r="F103" s="319"/>
      <c r="G103" s="319">
        <f>G104+G109+G112+G117+G131+G148+G151+G156+G159+G162+G167+G170+G124</f>
        <v>25486450</v>
      </c>
      <c r="H103" s="319">
        <f>H104+H109+H112+H117+H131+H148+H151+H156+H159+H162+H167+H170+H124</f>
        <v>31956783</v>
      </c>
      <c r="I103" s="319">
        <f>I104+I109+I112+I117+I131+I148+I151+I156+I159+I162+I167+I170+I124</f>
        <v>31956783</v>
      </c>
    </row>
    <row r="104" spans="1:12">
      <c r="A104" s="320" t="s">
        <v>1</v>
      </c>
      <c r="B104" s="321" t="s">
        <v>2</v>
      </c>
      <c r="C104" s="334" t="s">
        <v>232</v>
      </c>
      <c r="D104" s="323">
        <f>SUM(D105:D108)</f>
        <v>4057522.5599999996</v>
      </c>
      <c r="E104" s="323">
        <f>SUM(E105:E108)</f>
        <v>4907521</v>
      </c>
      <c r="F104" s="323"/>
      <c r="G104" s="323">
        <f t="shared" ref="G104:H104" si="33">SUM(G105:G108)</f>
        <v>17110145</v>
      </c>
      <c r="H104" s="323">
        <f t="shared" si="33"/>
        <v>20708345</v>
      </c>
      <c r="I104" s="323">
        <f>I105+I106+I107+I108</f>
        <v>21129522</v>
      </c>
    </row>
    <row r="105" spans="1:12">
      <c r="A105" s="324" t="s">
        <v>3</v>
      </c>
      <c r="B105" s="325" t="s">
        <v>4</v>
      </c>
      <c r="C105" s="334" t="s">
        <v>232</v>
      </c>
      <c r="D105" s="335">
        <f>707664.76</f>
        <v>707664.76</v>
      </c>
      <c r="E105" s="335">
        <v>707664</v>
      </c>
      <c r="F105" s="334" t="s">
        <v>82</v>
      </c>
      <c r="G105" s="335">
        <v>3904300</v>
      </c>
      <c r="H105" s="335">
        <v>4552567</v>
      </c>
      <c r="I105" s="335">
        <v>4608686</v>
      </c>
      <c r="J105" s="22"/>
      <c r="K105" s="22"/>
      <c r="L105" s="22"/>
    </row>
    <row r="106" spans="1:12">
      <c r="A106" s="324" t="s">
        <v>3</v>
      </c>
      <c r="B106" s="325" t="s">
        <v>4</v>
      </c>
      <c r="C106" s="334" t="s">
        <v>232</v>
      </c>
      <c r="D106" s="335">
        <f>4010095.29-850000</f>
        <v>3160095.29</v>
      </c>
      <c r="E106" s="335">
        <v>4010095</v>
      </c>
      <c r="F106" s="334" t="s">
        <v>234</v>
      </c>
      <c r="G106" s="335">
        <v>12805526</v>
      </c>
      <c r="H106" s="335">
        <v>15738654</v>
      </c>
      <c r="I106" s="335">
        <v>16056654</v>
      </c>
      <c r="J106" s="22"/>
      <c r="K106" s="22"/>
      <c r="L106" s="22"/>
    </row>
    <row r="107" spans="1:12">
      <c r="A107" s="336" t="s">
        <v>5</v>
      </c>
      <c r="B107" s="337" t="s">
        <v>6</v>
      </c>
      <c r="C107" s="334" t="s">
        <v>232</v>
      </c>
      <c r="D107" s="335">
        <v>28464.38</v>
      </c>
      <c r="E107" s="335">
        <v>28464</v>
      </c>
      <c r="F107" s="334" t="s">
        <v>82</v>
      </c>
      <c r="G107" s="335">
        <v>70616</v>
      </c>
      <c r="H107" s="335">
        <v>62569</v>
      </c>
      <c r="I107" s="335">
        <v>69627</v>
      </c>
      <c r="J107" s="22"/>
      <c r="K107" s="22"/>
      <c r="L107" s="22"/>
    </row>
    <row r="108" spans="1:12">
      <c r="A108" s="336" t="s">
        <v>5</v>
      </c>
      <c r="B108" s="337" t="s">
        <v>6</v>
      </c>
      <c r="C108" s="334" t="s">
        <v>232</v>
      </c>
      <c r="D108" s="335">
        <v>161298.13</v>
      </c>
      <c r="E108" s="335">
        <v>161298</v>
      </c>
      <c r="F108" s="334" t="s">
        <v>234</v>
      </c>
      <c r="G108" s="335">
        <v>329703</v>
      </c>
      <c r="H108" s="335">
        <v>354555</v>
      </c>
      <c r="I108" s="335">
        <v>394555</v>
      </c>
      <c r="J108" s="22"/>
      <c r="K108" s="22"/>
      <c r="L108" s="22"/>
    </row>
    <row r="109" spans="1:12">
      <c r="A109" s="320" t="s">
        <v>7</v>
      </c>
      <c r="B109" s="321" t="s">
        <v>8</v>
      </c>
      <c r="C109" s="334" t="s">
        <v>232</v>
      </c>
      <c r="D109" s="323">
        <f>SUM(D110:D111)</f>
        <v>264966</v>
      </c>
      <c r="E109" s="323">
        <f>SUM(E110:E111)</f>
        <v>264995</v>
      </c>
      <c r="F109" s="323"/>
      <c r="G109" s="323">
        <f>G110+G111</f>
        <v>685439</v>
      </c>
      <c r="H109" s="323">
        <f t="shared" ref="H109:I109" si="34">H110+H111</f>
        <v>1028159</v>
      </c>
      <c r="I109" s="323">
        <f t="shared" si="34"/>
        <v>1028159</v>
      </c>
    </row>
    <row r="110" spans="1:12">
      <c r="A110" s="324" t="s">
        <v>9</v>
      </c>
      <c r="B110" s="325" t="s">
        <v>8</v>
      </c>
      <c r="C110" s="334" t="s">
        <v>232</v>
      </c>
      <c r="D110" s="335">
        <v>39744.5</v>
      </c>
      <c r="E110" s="335">
        <v>39774</v>
      </c>
      <c r="F110" s="334" t="s">
        <v>82</v>
      </c>
      <c r="G110" s="335">
        <v>120911</v>
      </c>
      <c r="H110" s="335">
        <v>181367</v>
      </c>
      <c r="I110" s="335">
        <v>181367</v>
      </c>
    </row>
    <row r="111" spans="1:12">
      <c r="A111" s="324" t="s">
        <v>9</v>
      </c>
      <c r="B111" s="325" t="s">
        <v>8</v>
      </c>
      <c r="C111" s="334" t="s">
        <v>232</v>
      </c>
      <c r="D111" s="335">
        <v>225221.5</v>
      </c>
      <c r="E111" s="335">
        <v>225221</v>
      </c>
      <c r="F111" s="334" t="s">
        <v>234</v>
      </c>
      <c r="G111" s="335">
        <v>564528</v>
      </c>
      <c r="H111" s="335">
        <v>846792</v>
      </c>
      <c r="I111" s="335">
        <v>846792</v>
      </c>
      <c r="J111" s="22"/>
    </row>
    <row r="112" spans="1:12">
      <c r="A112" s="320" t="s">
        <v>10</v>
      </c>
      <c r="B112" s="321" t="s">
        <v>11</v>
      </c>
      <c r="C112" s="334" t="s">
        <v>232</v>
      </c>
      <c r="D112" s="323">
        <f>SUM(D113:D116)</f>
        <v>665254.08000000007</v>
      </c>
      <c r="E112" s="323">
        <f>SUM(E113:E116)</f>
        <v>811452</v>
      </c>
      <c r="F112" s="323"/>
      <c r="G112" s="323">
        <f t="shared" ref="G112:I112" si="35">SUM(G113:G116)</f>
        <v>2252338</v>
      </c>
      <c r="H112" s="323">
        <f t="shared" si="35"/>
        <v>3720556</v>
      </c>
      <c r="I112" s="323">
        <f t="shared" si="35"/>
        <v>3720556</v>
      </c>
    </row>
    <row r="113" spans="1:9">
      <c r="A113" s="324" t="s">
        <v>12</v>
      </c>
      <c r="B113" s="325" t="s">
        <v>13</v>
      </c>
      <c r="C113" s="334" t="s">
        <v>232</v>
      </c>
      <c r="D113" s="335">
        <v>109687.82</v>
      </c>
      <c r="E113" s="335">
        <v>109687</v>
      </c>
      <c r="F113" s="334" t="s">
        <v>82</v>
      </c>
      <c r="G113" s="335">
        <v>311871</v>
      </c>
      <c r="H113" s="335">
        <v>598927</v>
      </c>
      <c r="I113" s="335">
        <v>598927</v>
      </c>
    </row>
    <row r="114" spans="1:9">
      <c r="A114" s="324" t="s">
        <v>12</v>
      </c>
      <c r="B114" s="325" t="s">
        <v>13</v>
      </c>
      <c r="C114" s="334" t="s">
        <v>232</v>
      </c>
      <c r="D114" s="335">
        <f>621564.97-131750</f>
        <v>489814.97</v>
      </c>
      <c r="E114" s="335">
        <v>621564</v>
      </c>
      <c r="F114" s="334" t="s">
        <v>234</v>
      </c>
      <c r="G114" s="335">
        <v>1717850</v>
      </c>
      <c r="H114" s="335">
        <v>2755633</v>
      </c>
      <c r="I114" s="335">
        <v>2755633</v>
      </c>
    </row>
    <row r="115" spans="1:9">
      <c r="A115" s="324" t="s">
        <v>14</v>
      </c>
      <c r="B115" s="325" t="s">
        <v>293</v>
      </c>
      <c r="C115" s="334" t="s">
        <v>232</v>
      </c>
      <c r="D115" s="335">
        <v>12030</v>
      </c>
      <c r="E115" s="335">
        <v>12030</v>
      </c>
      <c r="F115" s="334" t="s">
        <v>82</v>
      </c>
      <c r="G115" s="335">
        <v>34207</v>
      </c>
      <c r="H115" s="335">
        <v>65350</v>
      </c>
      <c r="I115" s="335">
        <v>65350</v>
      </c>
    </row>
    <row r="116" spans="1:9">
      <c r="A116" s="324" t="s">
        <v>14</v>
      </c>
      <c r="B116" s="325" t="s">
        <v>293</v>
      </c>
      <c r="C116" s="334" t="s">
        <v>232</v>
      </c>
      <c r="D116" s="335">
        <f>68171.29-14450</f>
        <v>53721.289999999994</v>
      </c>
      <c r="E116" s="335">
        <v>68171</v>
      </c>
      <c r="F116" s="334" t="s">
        <v>234</v>
      </c>
      <c r="G116" s="335">
        <v>188410</v>
      </c>
      <c r="H116" s="335">
        <v>300646</v>
      </c>
      <c r="I116" s="335">
        <v>300646</v>
      </c>
    </row>
    <row r="117" spans="1:9">
      <c r="A117" s="320" t="s">
        <v>16</v>
      </c>
      <c r="B117" s="321" t="s">
        <v>17</v>
      </c>
      <c r="C117" s="334" t="s">
        <v>232</v>
      </c>
      <c r="D117" s="323">
        <f>SUM(D118:D123)</f>
        <v>1593566.54</v>
      </c>
      <c r="E117" s="323">
        <f>SUM(E118:E123)</f>
        <v>1593563</v>
      </c>
      <c r="F117" s="323"/>
      <c r="G117" s="323">
        <f>G118+G119+G120+G121+G122+G123</f>
        <v>886823</v>
      </c>
      <c r="H117" s="323">
        <f t="shared" ref="H117:I117" si="36">H118+H119+H120+H121+H122+H123</f>
        <v>886823</v>
      </c>
      <c r="I117" s="323">
        <f t="shared" si="36"/>
        <v>945646</v>
      </c>
    </row>
    <row r="118" spans="1:9">
      <c r="A118" s="324" t="s">
        <v>18</v>
      </c>
      <c r="B118" s="325" t="s">
        <v>19</v>
      </c>
      <c r="C118" s="334" t="s">
        <v>232</v>
      </c>
      <c r="D118" s="335">
        <v>117358.54</v>
      </c>
      <c r="E118" s="335">
        <v>117358</v>
      </c>
      <c r="F118" s="334" t="s">
        <v>82</v>
      </c>
      <c r="G118" s="335">
        <v>52941</v>
      </c>
      <c r="H118" s="335">
        <v>52941</v>
      </c>
      <c r="I118" s="335">
        <v>52941</v>
      </c>
    </row>
    <row r="119" spans="1:9">
      <c r="A119" s="324" t="s">
        <v>18</v>
      </c>
      <c r="B119" s="325" t="s">
        <v>19</v>
      </c>
      <c r="C119" s="334" t="s">
        <v>232</v>
      </c>
      <c r="D119" s="335">
        <v>665018.28</v>
      </c>
      <c r="E119" s="335">
        <v>665018</v>
      </c>
      <c r="F119" s="334" t="s">
        <v>234</v>
      </c>
      <c r="G119" s="335">
        <v>300000</v>
      </c>
      <c r="H119" s="335">
        <v>300000</v>
      </c>
      <c r="I119" s="335">
        <v>300000</v>
      </c>
    </row>
    <row r="120" spans="1:9">
      <c r="A120" s="324" t="s">
        <v>20</v>
      </c>
      <c r="B120" s="325" t="s">
        <v>21</v>
      </c>
      <c r="C120" s="334" t="s">
        <v>232</v>
      </c>
      <c r="D120" s="335">
        <v>14432.46</v>
      </c>
      <c r="E120" s="335">
        <v>14432</v>
      </c>
      <c r="F120" s="334" t="s">
        <v>82</v>
      </c>
      <c r="G120" s="335">
        <v>35964</v>
      </c>
      <c r="H120" s="335">
        <v>35964</v>
      </c>
      <c r="I120" s="335">
        <v>35964</v>
      </c>
    </row>
    <row r="121" spans="1:9">
      <c r="A121" s="324" t="s">
        <v>20</v>
      </c>
      <c r="B121" s="325" t="s">
        <v>21</v>
      </c>
      <c r="C121" s="334" t="s">
        <v>232</v>
      </c>
      <c r="D121" s="335">
        <v>81784.92</v>
      </c>
      <c r="E121" s="335">
        <v>81784</v>
      </c>
      <c r="F121" s="334" t="s">
        <v>234</v>
      </c>
      <c r="G121" s="335">
        <v>203800</v>
      </c>
      <c r="H121" s="335">
        <v>203800</v>
      </c>
      <c r="I121" s="335">
        <v>203800</v>
      </c>
    </row>
    <row r="122" spans="1:9">
      <c r="A122" s="324" t="s">
        <v>22</v>
      </c>
      <c r="B122" s="325" t="s">
        <v>23</v>
      </c>
      <c r="C122" s="334" t="s">
        <v>232</v>
      </c>
      <c r="D122" s="335">
        <v>107245.91</v>
      </c>
      <c r="E122" s="335">
        <v>107245</v>
      </c>
      <c r="F122" s="334" t="s">
        <v>82</v>
      </c>
      <c r="G122" s="335">
        <v>44118</v>
      </c>
      <c r="H122" s="335">
        <v>44118</v>
      </c>
      <c r="I122" s="335">
        <v>52941</v>
      </c>
    </row>
    <row r="123" spans="1:9">
      <c r="A123" s="324" t="s">
        <v>22</v>
      </c>
      <c r="B123" s="325" t="s">
        <v>23</v>
      </c>
      <c r="C123" s="334" t="s">
        <v>232</v>
      </c>
      <c r="D123" s="335">
        <v>607726.43000000005</v>
      </c>
      <c r="E123" s="335">
        <v>607726</v>
      </c>
      <c r="F123" s="334" t="s">
        <v>234</v>
      </c>
      <c r="G123" s="335">
        <v>250000</v>
      </c>
      <c r="H123" s="335">
        <v>250000</v>
      </c>
      <c r="I123" s="335">
        <v>300000</v>
      </c>
    </row>
    <row r="124" spans="1:9">
      <c r="A124" s="320" t="s">
        <v>24</v>
      </c>
      <c r="B124" s="321" t="s">
        <v>25</v>
      </c>
      <c r="C124" s="334" t="s">
        <v>232</v>
      </c>
      <c r="D124" s="323">
        <f>SUM(D125:D130)</f>
        <v>312203.73000000004</v>
      </c>
      <c r="E124" s="323">
        <f>SUM(E125:E130)</f>
        <v>403770</v>
      </c>
      <c r="F124" s="323"/>
      <c r="G124" s="323">
        <f t="shared" ref="G124:I124" si="37">SUM(G125:G130)</f>
        <v>526666</v>
      </c>
      <c r="H124" s="323">
        <f t="shared" si="37"/>
        <v>466666</v>
      </c>
      <c r="I124" s="323">
        <f t="shared" si="37"/>
        <v>466666</v>
      </c>
    </row>
    <row r="125" spans="1:9">
      <c r="A125" s="324" t="s">
        <v>26</v>
      </c>
      <c r="B125" s="325" t="s">
        <v>27</v>
      </c>
      <c r="C125" s="334" t="s">
        <v>232</v>
      </c>
      <c r="D125" s="335">
        <v>22548.59</v>
      </c>
      <c r="E125" s="335">
        <v>22548</v>
      </c>
      <c r="F125" s="334" t="s">
        <v>82</v>
      </c>
      <c r="G125" s="335">
        <v>25000</v>
      </c>
      <c r="H125" s="335">
        <v>25000</v>
      </c>
      <c r="I125" s="335">
        <v>25000</v>
      </c>
    </row>
    <row r="126" spans="1:9">
      <c r="A126" s="324" t="s">
        <v>26</v>
      </c>
      <c r="B126" s="325" t="s">
        <v>27</v>
      </c>
      <c r="C126" s="334" t="s">
        <v>232</v>
      </c>
      <c r="D126" s="335">
        <v>127775.36</v>
      </c>
      <c r="E126" s="335">
        <v>127775</v>
      </c>
      <c r="F126" s="334" t="s">
        <v>234</v>
      </c>
      <c r="G126" s="335">
        <v>141666</v>
      </c>
      <c r="H126" s="335">
        <v>141666</v>
      </c>
      <c r="I126" s="335">
        <v>141666</v>
      </c>
    </row>
    <row r="127" spans="1:9">
      <c r="A127" s="324" t="s">
        <v>28</v>
      </c>
      <c r="B127" s="330" t="s">
        <v>29</v>
      </c>
      <c r="C127" s="334" t="s">
        <v>232</v>
      </c>
      <c r="D127" s="335">
        <v>36858.089999999997</v>
      </c>
      <c r="E127" s="335">
        <v>36858</v>
      </c>
      <c r="F127" s="334" t="s">
        <v>82</v>
      </c>
      <c r="G127" s="335">
        <v>45000</v>
      </c>
      <c r="H127" s="335">
        <v>45000</v>
      </c>
      <c r="I127" s="335">
        <v>45000</v>
      </c>
    </row>
    <row r="128" spans="1:9">
      <c r="A128" s="324" t="s">
        <v>28</v>
      </c>
      <c r="B128" s="330" t="s">
        <v>29</v>
      </c>
      <c r="C128" s="334" t="s">
        <v>232</v>
      </c>
      <c r="D128" s="335">
        <f>208862.49-85000</f>
        <v>123862.48999999999</v>
      </c>
      <c r="E128" s="335">
        <v>208862</v>
      </c>
      <c r="F128" s="334" t="s">
        <v>234</v>
      </c>
      <c r="G128" s="335">
        <v>255000</v>
      </c>
      <c r="H128" s="335">
        <v>255000</v>
      </c>
      <c r="I128" s="335">
        <v>255000</v>
      </c>
    </row>
    <row r="129" spans="1:10">
      <c r="A129" s="324">
        <v>3227</v>
      </c>
      <c r="B129" s="325" t="s">
        <v>359</v>
      </c>
      <c r="C129" s="334" t="s">
        <v>232</v>
      </c>
      <c r="D129" s="335">
        <v>1159.08</v>
      </c>
      <c r="E129" s="335">
        <v>1159</v>
      </c>
      <c r="F129" s="334" t="s">
        <v>82</v>
      </c>
      <c r="G129" s="335">
        <v>9000</v>
      </c>
      <c r="H129" s="335">
        <v>0</v>
      </c>
      <c r="I129" s="335">
        <v>0</v>
      </c>
      <c r="J129" s="521"/>
    </row>
    <row r="130" spans="1:10">
      <c r="A130" s="324">
        <v>3227</v>
      </c>
      <c r="B130" s="325" t="s">
        <v>359</v>
      </c>
      <c r="C130" s="334" t="s">
        <v>232</v>
      </c>
      <c r="D130" s="335">
        <f>6568.12-6568</f>
        <v>0.11999999999989086</v>
      </c>
      <c r="E130" s="335">
        <v>6568</v>
      </c>
      <c r="F130" s="334" t="s">
        <v>234</v>
      </c>
      <c r="G130" s="335">
        <v>51000</v>
      </c>
      <c r="H130" s="335">
        <v>0</v>
      </c>
      <c r="I130" s="335">
        <v>0</v>
      </c>
    </row>
    <row r="131" spans="1:10">
      <c r="A131" s="320" t="s">
        <v>34</v>
      </c>
      <c r="B131" s="321" t="s">
        <v>35</v>
      </c>
      <c r="C131" s="334" t="s">
        <v>232</v>
      </c>
      <c r="D131" s="323">
        <f>SUM(D132:D147)</f>
        <v>10735101.43</v>
      </c>
      <c r="E131" s="323">
        <f>SUM(E132:E147)</f>
        <v>12343301</v>
      </c>
      <c r="F131" s="323"/>
      <c r="G131" s="323">
        <f t="shared" ref="G131:I131" si="38">SUM(G132:G147)</f>
        <v>2976627</v>
      </c>
      <c r="H131" s="323">
        <f t="shared" si="38"/>
        <v>4062117</v>
      </c>
      <c r="I131" s="323">
        <f t="shared" si="38"/>
        <v>4185647</v>
      </c>
      <c r="J131" s="22"/>
    </row>
    <row r="132" spans="1:10">
      <c r="A132" s="324" t="s">
        <v>36</v>
      </c>
      <c r="B132" s="325" t="s">
        <v>37</v>
      </c>
      <c r="C132" s="334" t="s">
        <v>232</v>
      </c>
      <c r="D132" s="335">
        <v>21655.03</v>
      </c>
      <c r="E132" s="335">
        <v>21655</v>
      </c>
      <c r="F132" s="334" t="s">
        <v>82</v>
      </c>
      <c r="G132" s="335">
        <v>35100</v>
      </c>
      <c r="H132" s="335">
        <v>35100</v>
      </c>
      <c r="I132" s="335">
        <v>35100</v>
      </c>
    </row>
    <row r="133" spans="1:10">
      <c r="A133" s="324" t="s">
        <v>36</v>
      </c>
      <c r="B133" s="325" t="s">
        <v>37</v>
      </c>
      <c r="C133" s="334" t="s">
        <v>232</v>
      </c>
      <c r="D133" s="335">
        <f>122711.79-24540</f>
        <v>98171.79</v>
      </c>
      <c r="E133" s="335">
        <v>122711</v>
      </c>
      <c r="F133" s="334" t="s">
        <v>234</v>
      </c>
      <c r="G133" s="335">
        <v>198900</v>
      </c>
      <c r="H133" s="335">
        <v>198900</v>
      </c>
      <c r="I133" s="335">
        <v>198900</v>
      </c>
    </row>
    <row r="134" spans="1:10">
      <c r="A134" s="324" t="s">
        <v>38</v>
      </c>
      <c r="B134" s="325" t="s">
        <v>39</v>
      </c>
      <c r="C134" s="334" t="s">
        <v>232</v>
      </c>
      <c r="D134" s="335">
        <v>27060.87</v>
      </c>
      <c r="E134" s="335">
        <v>27060</v>
      </c>
      <c r="F134" s="334" t="s">
        <v>82</v>
      </c>
      <c r="G134" s="335">
        <v>25353</v>
      </c>
      <c r="H134" s="335">
        <v>25353</v>
      </c>
      <c r="I134" s="335">
        <v>25353</v>
      </c>
    </row>
    <row r="135" spans="1:10">
      <c r="A135" s="324" t="s">
        <v>38</v>
      </c>
      <c r="B135" s="325" t="s">
        <v>39</v>
      </c>
      <c r="C135" s="334" t="s">
        <v>232</v>
      </c>
      <c r="D135" s="335">
        <v>153345.22</v>
      </c>
      <c r="E135" s="335">
        <v>153345</v>
      </c>
      <c r="F135" s="334" t="s">
        <v>234</v>
      </c>
      <c r="G135" s="335">
        <v>143667</v>
      </c>
      <c r="H135" s="335">
        <v>143667</v>
      </c>
      <c r="I135" s="335">
        <v>143667</v>
      </c>
    </row>
    <row r="136" spans="1:10">
      <c r="A136" s="324" t="s">
        <v>40</v>
      </c>
      <c r="B136" s="325" t="s">
        <v>41</v>
      </c>
      <c r="C136" s="334" t="s">
        <v>232</v>
      </c>
      <c r="D136" s="335">
        <v>398926.16</v>
      </c>
      <c r="E136" s="335">
        <v>398926</v>
      </c>
      <c r="F136" s="334" t="s">
        <v>82</v>
      </c>
      <c r="G136" s="335">
        <v>72614</v>
      </c>
      <c r="H136" s="335">
        <v>75000</v>
      </c>
      <c r="I136" s="335">
        <v>79412</v>
      </c>
    </row>
    <row r="137" spans="1:10">
      <c r="A137" s="324" t="s">
        <v>40</v>
      </c>
      <c r="B137" s="325" t="s">
        <v>41</v>
      </c>
      <c r="C137" s="334" t="s">
        <v>232</v>
      </c>
      <c r="D137" s="335">
        <f>2260580.84-1000000</f>
        <v>1260580.8399999999</v>
      </c>
      <c r="E137" s="335">
        <v>2260580</v>
      </c>
      <c r="F137" s="334" t="s">
        <v>234</v>
      </c>
      <c r="G137" s="335">
        <v>411480</v>
      </c>
      <c r="H137" s="335">
        <v>425000</v>
      </c>
      <c r="I137" s="335">
        <v>450000</v>
      </c>
    </row>
    <row r="138" spans="1:10">
      <c r="A138" s="324" t="s">
        <v>42</v>
      </c>
      <c r="B138" s="325" t="s">
        <v>43</v>
      </c>
      <c r="C138" s="334" t="s">
        <v>232</v>
      </c>
      <c r="D138" s="335">
        <v>36236.47</v>
      </c>
      <c r="E138" s="335">
        <v>36236</v>
      </c>
      <c r="F138" s="334" t="s">
        <v>82</v>
      </c>
      <c r="G138" s="335">
        <v>32353</v>
      </c>
      <c r="H138" s="335">
        <v>35882</v>
      </c>
      <c r="I138" s="335">
        <v>50000</v>
      </c>
    </row>
    <row r="139" spans="1:10">
      <c r="A139" s="324" t="s">
        <v>42</v>
      </c>
      <c r="B139" s="325" t="s">
        <v>43</v>
      </c>
      <c r="C139" s="334" t="s">
        <v>232</v>
      </c>
      <c r="D139" s="335">
        <v>205339.64</v>
      </c>
      <c r="E139" s="335">
        <v>205339</v>
      </c>
      <c r="F139" s="334" t="s">
        <v>234</v>
      </c>
      <c r="G139" s="335">
        <v>183333</v>
      </c>
      <c r="H139" s="335">
        <v>203333</v>
      </c>
      <c r="I139" s="335">
        <v>283333</v>
      </c>
    </row>
    <row r="140" spans="1:10">
      <c r="A140" s="324" t="s">
        <v>44</v>
      </c>
      <c r="B140" s="325" t="s">
        <v>45</v>
      </c>
      <c r="C140" s="334" t="s">
        <v>232</v>
      </c>
      <c r="D140" s="335">
        <v>58072.65</v>
      </c>
      <c r="E140" s="335">
        <v>58072</v>
      </c>
      <c r="F140" s="334" t="s">
        <v>82</v>
      </c>
      <c r="G140" s="335">
        <v>9482</v>
      </c>
      <c r="H140" s="335">
        <v>9482</v>
      </c>
      <c r="I140" s="335">
        <v>9482</v>
      </c>
    </row>
    <row r="141" spans="1:10">
      <c r="A141" s="324" t="s">
        <v>44</v>
      </c>
      <c r="B141" s="325" t="s">
        <v>45</v>
      </c>
      <c r="C141" s="334" t="s">
        <v>232</v>
      </c>
      <c r="D141" s="335">
        <f>329077.71-85000</f>
        <v>244077.71000000002</v>
      </c>
      <c r="E141" s="335">
        <v>329077</v>
      </c>
      <c r="F141" s="334" t="s">
        <v>234</v>
      </c>
      <c r="G141" s="335">
        <v>53734</v>
      </c>
      <c r="H141" s="335">
        <v>53734</v>
      </c>
      <c r="I141" s="335">
        <v>53734</v>
      </c>
    </row>
    <row r="142" spans="1:10">
      <c r="A142" s="324" t="s">
        <v>48</v>
      </c>
      <c r="B142" s="325" t="s">
        <v>49</v>
      </c>
      <c r="C142" s="334" t="s">
        <v>232</v>
      </c>
      <c r="D142" s="335">
        <v>1105780.07</v>
      </c>
      <c r="E142" s="335">
        <v>1105780</v>
      </c>
      <c r="F142" s="334" t="s">
        <v>82</v>
      </c>
      <c r="G142" s="335">
        <v>200445</v>
      </c>
      <c r="H142" s="335">
        <v>1000000</v>
      </c>
      <c r="I142" s="335">
        <v>1000000</v>
      </c>
    </row>
    <row r="143" spans="1:10">
      <c r="A143" s="324" t="s">
        <v>48</v>
      </c>
      <c r="B143" s="325" t="s">
        <v>49</v>
      </c>
      <c r="C143" s="334" t="s">
        <v>232</v>
      </c>
      <c r="D143" s="335">
        <v>6266086.7199999997</v>
      </c>
      <c r="E143" s="335">
        <v>6266086</v>
      </c>
      <c r="F143" s="334" t="s">
        <v>234</v>
      </c>
      <c r="G143" s="335">
        <v>1135853</v>
      </c>
      <c r="H143" s="335">
        <v>1500000</v>
      </c>
      <c r="I143" s="335">
        <v>1500000</v>
      </c>
    </row>
    <row r="144" spans="1:10">
      <c r="A144" s="324" t="s">
        <v>50</v>
      </c>
      <c r="B144" s="325" t="s">
        <v>51</v>
      </c>
      <c r="C144" s="334" t="s">
        <v>232</v>
      </c>
      <c r="D144" s="335">
        <v>88000</v>
      </c>
      <c r="E144" s="335">
        <v>88000</v>
      </c>
      <c r="F144" s="334" t="s">
        <v>82</v>
      </c>
      <c r="G144" s="335">
        <v>53500</v>
      </c>
      <c r="H144" s="335">
        <v>35853</v>
      </c>
      <c r="I144" s="335">
        <v>35853</v>
      </c>
    </row>
    <row r="145" spans="1:9">
      <c r="A145" s="324" t="s">
        <v>50</v>
      </c>
      <c r="B145" s="325" t="s">
        <v>51</v>
      </c>
      <c r="C145" s="334" t="s">
        <v>232</v>
      </c>
      <c r="D145" s="335">
        <f>498666-498666</f>
        <v>0</v>
      </c>
      <c r="E145" s="335">
        <v>498666</v>
      </c>
      <c r="F145" s="334" t="s">
        <v>234</v>
      </c>
      <c r="G145" s="335">
        <v>303166</v>
      </c>
      <c r="H145" s="335">
        <v>203166</v>
      </c>
      <c r="I145" s="335">
        <v>203166</v>
      </c>
    </row>
    <row r="146" spans="1:9">
      <c r="A146" s="324" t="s">
        <v>52</v>
      </c>
      <c r="B146" s="325" t="s">
        <v>53</v>
      </c>
      <c r="C146" s="334" t="s">
        <v>232</v>
      </c>
      <c r="D146" s="335">
        <v>115765.24</v>
      </c>
      <c r="E146" s="335">
        <v>115765</v>
      </c>
      <c r="F146" s="334" t="s">
        <v>82</v>
      </c>
      <c r="G146" s="335">
        <v>17647</v>
      </c>
      <c r="H146" s="335">
        <v>17647</v>
      </c>
      <c r="I146" s="335">
        <v>17647</v>
      </c>
    </row>
    <row r="147" spans="1:9">
      <c r="A147" s="324" t="s">
        <v>52</v>
      </c>
      <c r="B147" s="325" t="s">
        <v>53</v>
      </c>
      <c r="C147" s="334" t="s">
        <v>232</v>
      </c>
      <c r="D147" s="335">
        <v>656003.02</v>
      </c>
      <c r="E147" s="335">
        <v>656003</v>
      </c>
      <c r="F147" s="334" t="s">
        <v>234</v>
      </c>
      <c r="G147" s="335">
        <v>100000</v>
      </c>
      <c r="H147" s="335">
        <v>100000</v>
      </c>
      <c r="I147" s="335">
        <v>100000</v>
      </c>
    </row>
    <row r="148" spans="1:9">
      <c r="A148" s="332" t="s">
        <v>54</v>
      </c>
      <c r="B148" s="321" t="s">
        <v>55</v>
      </c>
      <c r="C148" s="334" t="s">
        <v>232</v>
      </c>
      <c r="D148" s="323">
        <f>SUM(D149:D150)</f>
        <v>74500</v>
      </c>
      <c r="E148" s="323">
        <f>SUM(E149:E150)</f>
        <v>100000</v>
      </c>
      <c r="F148" s="323"/>
      <c r="G148" s="323">
        <f t="shared" ref="G148:I148" si="39">SUM(G149:G150)</f>
        <v>50000</v>
      </c>
      <c r="H148" s="323">
        <f t="shared" si="39"/>
        <v>58824</v>
      </c>
      <c r="I148" s="323">
        <f t="shared" si="39"/>
        <v>66275</v>
      </c>
    </row>
    <row r="149" spans="1:9">
      <c r="A149" s="324" t="s">
        <v>56</v>
      </c>
      <c r="B149" s="325" t="s">
        <v>55</v>
      </c>
      <c r="C149" s="334" t="s">
        <v>232</v>
      </c>
      <c r="D149" s="335">
        <v>15000</v>
      </c>
      <c r="E149" s="335">
        <v>15000</v>
      </c>
      <c r="F149" s="334" t="s">
        <v>82</v>
      </c>
      <c r="G149" s="335">
        <v>7500</v>
      </c>
      <c r="H149" s="335">
        <v>8824</v>
      </c>
      <c r="I149" s="335">
        <v>9941</v>
      </c>
    </row>
    <row r="150" spans="1:9">
      <c r="A150" s="324">
        <v>3241</v>
      </c>
      <c r="B150" s="325" t="s">
        <v>55</v>
      </c>
      <c r="C150" s="334" t="s">
        <v>232</v>
      </c>
      <c r="D150" s="335">
        <f>85000-25500</f>
        <v>59500</v>
      </c>
      <c r="E150" s="335">
        <v>85000</v>
      </c>
      <c r="F150" s="334" t="s">
        <v>234</v>
      </c>
      <c r="G150" s="335">
        <v>42500</v>
      </c>
      <c r="H150" s="335">
        <v>50000</v>
      </c>
      <c r="I150" s="335">
        <v>56334</v>
      </c>
    </row>
    <row r="151" spans="1:9">
      <c r="A151" s="332" t="s">
        <v>57</v>
      </c>
      <c r="B151" s="321" t="s">
        <v>58</v>
      </c>
      <c r="C151" s="334" t="s">
        <v>232</v>
      </c>
      <c r="D151" s="323">
        <f>SUM(D152:D155)</f>
        <v>74382.67</v>
      </c>
      <c r="E151" s="323">
        <f>SUM(E152:E155)</f>
        <v>142381</v>
      </c>
      <c r="F151" s="323"/>
      <c r="G151" s="323">
        <f t="shared" ref="G151:I151" si="40">SUM(G152:G155)</f>
        <v>100000</v>
      </c>
      <c r="H151" s="323">
        <f t="shared" si="40"/>
        <v>123333</v>
      </c>
      <c r="I151" s="323">
        <f t="shared" si="40"/>
        <v>123333</v>
      </c>
    </row>
    <row r="152" spans="1:9">
      <c r="A152" s="324" t="s">
        <v>63</v>
      </c>
      <c r="B152" s="325" t="s">
        <v>64</v>
      </c>
      <c r="C152" s="334" t="s">
        <v>232</v>
      </c>
      <c r="D152" s="335">
        <v>9357.86</v>
      </c>
      <c r="E152" s="335">
        <v>9357</v>
      </c>
      <c r="F152" s="334" t="s">
        <v>82</v>
      </c>
      <c r="G152" s="335">
        <v>15000</v>
      </c>
      <c r="H152" s="335">
        <v>18500</v>
      </c>
      <c r="I152" s="335">
        <v>18500</v>
      </c>
    </row>
    <row r="153" spans="1:9">
      <c r="A153" s="324" t="s">
        <v>63</v>
      </c>
      <c r="B153" s="325" t="s">
        <v>64</v>
      </c>
      <c r="C153" s="334" t="s">
        <v>232</v>
      </c>
      <c r="D153" s="335">
        <v>53024.81</v>
      </c>
      <c r="E153" s="335">
        <v>53024</v>
      </c>
      <c r="F153" s="334" t="s">
        <v>234</v>
      </c>
      <c r="G153" s="335">
        <v>85000</v>
      </c>
      <c r="H153" s="335">
        <v>104833</v>
      </c>
      <c r="I153" s="335">
        <v>104833</v>
      </c>
    </row>
    <row r="154" spans="1:9">
      <c r="A154" s="324">
        <v>3294</v>
      </c>
      <c r="B154" s="325" t="s">
        <v>360</v>
      </c>
      <c r="C154" s="334" t="s">
        <v>232</v>
      </c>
      <c r="D154" s="335">
        <v>12000</v>
      </c>
      <c r="E154" s="335">
        <v>12000</v>
      </c>
      <c r="F154" s="334" t="s">
        <v>82</v>
      </c>
      <c r="G154" s="335">
        <v>0</v>
      </c>
      <c r="H154" s="335">
        <v>0</v>
      </c>
      <c r="I154" s="335">
        <v>0</v>
      </c>
    </row>
    <row r="155" spans="1:9">
      <c r="A155" s="324">
        <v>3294</v>
      </c>
      <c r="B155" s="325" t="s">
        <v>360</v>
      </c>
      <c r="C155" s="334" t="s">
        <v>232</v>
      </c>
      <c r="D155" s="335">
        <f>68000-68000</f>
        <v>0</v>
      </c>
      <c r="E155" s="335">
        <v>68000</v>
      </c>
      <c r="F155" s="334" t="s">
        <v>234</v>
      </c>
      <c r="G155" s="335">
        <v>0</v>
      </c>
      <c r="H155" s="335">
        <v>0</v>
      </c>
      <c r="I155" s="335">
        <v>0</v>
      </c>
    </row>
    <row r="156" spans="1:9">
      <c r="A156" s="320" t="s">
        <v>173</v>
      </c>
      <c r="B156" s="321" t="s">
        <v>357</v>
      </c>
      <c r="C156" s="334" t="s">
        <v>232</v>
      </c>
      <c r="D156" s="323">
        <f>SUM(D157:D158)</f>
        <v>66666</v>
      </c>
      <c r="E156" s="323">
        <f>SUM(E157:E158)</f>
        <v>66666</v>
      </c>
      <c r="F156" s="323"/>
      <c r="G156" s="323">
        <f>G157+G158</f>
        <v>100000</v>
      </c>
      <c r="H156" s="323">
        <f t="shared" ref="H156:I156" si="41">H157+H158</f>
        <v>66666</v>
      </c>
      <c r="I156" s="323">
        <f t="shared" si="41"/>
        <v>66666</v>
      </c>
    </row>
    <row r="157" spans="1:9">
      <c r="A157" s="336" t="s">
        <v>174</v>
      </c>
      <c r="B157" s="337" t="s">
        <v>175</v>
      </c>
      <c r="C157" s="334" t="s">
        <v>232</v>
      </c>
      <c r="D157" s="335">
        <v>10000</v>
      </c>
      <c r="E157" s="335">
        <v>10000</v>
      </c>
      <c r="F157" s="334" t="s">
        <v>82</v>
      </c>
      <c r="G157" s="335">
        <v>15000</v>
      </c>
      <c r="H157" s="335">
        <v>10000</v>
      </c>
      <c r="I157" s="335">
        <v>10000</v>
      </c>
    </row>
    <row r="158" spans="1:9">
      <c r="A158" s="336" t="s">
        <v>174</v>
      </c>
      <c r="B158" s="337" t="s">
        <v>175</v>
      </c>
      <c r="C158" s="334" t="s">
        <v>232</v>
      </c>
      <c r="D158" s="335">
        <v>56666</v>
      </c>
      <c r="E158" s="335">
        <v>56666</v>
      </c>
      <c r="F158" s="334" t="s">
        <v>234</v>
      </c>
      <c r="G158" s="335">
        <v>85000</v>
      </c>
      <c r="H158" s="335">
        <v>56666</v>
      </c>
      <c r="I158" s="335">
        <v>56666</v>
      </c>
    </row>
    <row r="159" spans="1:9">
      <c r="A159" s="320" t="s">
        <v>83</v>
      </c>
      <c r="B159" s="321" t="s">
        <v>84</v>
      </c>
      <c r="C159" s="334" t="s">
        <v>232</v>
      </c>
      <c r="D159" s="323">
        <f>SUM(D160:D161)</f>
        <v>2262</v>
      </c>
      <c r="E159" s="323">
        <f>SUM(E160:E161)</f>
        <v>15080</v>
      </c>
      <c r="F159" s="323"/>
      <c r="G159" s="323">
        <f t="shared" ref="G159:I159" si="42">SUM(G160:G161)</f>
        <v>124000</v>
      </c>
      <c r="H159" s="323">
        <f t="shared" si="42"/>
        <v>100000</v>
      </c>
      <c r="I159" s="323">
        <f t="shared" si="42"/>
        <v>100000</v>
      </c>
    </row>
    <row r="160" spans="1:9">
      <c r="A160" s="324" t="s">
        <v>85</v>
      </c>
      <c r="B160" s="325" t="s">
        <v>86</v>
      </c>
      <c r="C160" s="334" t="s">
        <v>232</v>
      </c>
      <c r="D160" s="335">
        <v>2262</v>
      </c>
      <c r="E160" s="335">
        <v>2262</v>
      </c>
      <c r="F160" s="334" t="s">
        <v>82</v>
      </c>
      <c r="G160" s="335">
        <v>18600</v>
      </c>
      <c r="H160" s="335">
        <v>15000</v>
      </c>
      <c r="I160" s="335">
        <v>15000</v>
      </c>
    </row>
    <row r="161" spans="1:11">
      <c r="A161" s="324" t="s">
        <v>85</v>
      </c>
      <c r="B161" s="325" t="s">
        <v>86</v>
      </c>
      <c r="C161" s="334" t="s">
        <v>232</v>
      </c>
      <c r="D161" s="335">
        <f>12818-12818</f>
        <v>0</v>
      </c>
      <c r="E161" s="335">
        <v>12818</v>
      </c>
      <c r="F161" s="334" t="s">
        <v>234</v>
      </c>
      <c r="G161" s="335">
        <v>105400</v>
      </c>
      <c r="H161" s="335">
        <v>85000</v>
      </c>
      <c r="I161" s="335">
        <v>85000</v>
      </c>
    </row>
    <row r="162" spans="1:11">
      <c r="A162" s="320" t="s">
        <v>88</v>
      </c>
      <c r="B162" s="321" t="s">
        <v>89</v>
      </c>
      <c r="C162" s="334" t="s">
        <v>232</v>
      </c>
      <c r="D162" s="323">
        <f>SUM(D163:D166)</f>
        <v>21177.120000000003</v>
      </c>
      <c r="E162" s="323">
        <f>SUM(E163:E166)</f>
        <v>101176</v>
      </c>
      <c r="F162" s="323"/>
      <c r="G162" s="323">
        <f>SUM(G163:G166)</f>
        <v>261666</v>
      </c>
      <c r="H162" s="323">
        <f t="shared" ref="H162:I162" si="43">SUM(H163:H166)</f>
        <v>264706</v>
      </c>
      <c r="I162" s="323">
        <f t="shared" si="43"/>
        <v>124313</v>
      </c>
    </row>
    <row r="163" spans="1:11">
      <c r="A163" s="324" t="s">
        <v>90</v>
      </c>
      <c r="B163" s="325" t="s">
        <v>91</v>
      </c>
      <c r="C163" s="334" t="s">
        <v>232</v>
      </c>
      <c r="D163" s="335">
        <v>14176.57</v>
      </c>
      <c r="E163" s="335">
        <v>14176</v>
      </c>
      <c r="F163" s="334" t="s">
        <v>82</v>
      </c>
      <c r="G163" s="335">
        <v>38250</v>
      </c>
      <c r="H163" s="335">
        <v>38706</v>
      </c>
      <c r="I163" s="335">
        <v>17647</v>
      </c>
    </row>
    <row r="164" spans="1:11">
      <c r="A164" s="324" t="s">
        <v>90</v>
      </c>
      <c r="B164" s="325" t="s">
        <v>91</v>
      </c>
      <c r="C164" s="334" t="s">
        <v>232</v>
      </c>
      <c r="D164" s="335">
        <f>80334.55-80000</f>
        <v>334.55000000000291</v>
      </c>
      <c r="E164" s="335">
        <v>80334</v>
      </c>
      <c r="F164" s="334" t="s">
        <v>234</v>
      </c>
      <c r="G164" s="335">
        <v>216750</v>
      </c>
      <c r="H164" s="335">
        <v>219334</v>
      </c>
      <c r="I164" s="335">
        <v>100000</v>
      </c>
    </row>
    <row r="165" spans="1:11">
      <c r="A165" s="324" t="s">
        <v>92</v>
      </c>
      <c r="B165" s="325" t="s">
        <v>93</v>
      </c>
      <c r="C165" s="334" t="s">
        <v>232</v>
      </c>
      <c r="D165" s="335">
        <v>1000</v>
      </c>
      <c r="E165" s="335">
        <v>1000</v>
      </c>
      <c r="F165" s="334" t="s">
        <v>82</v>
      </c>
      <c r="G165" s="335">
        <v>1000</v>
      </c>
      <c r="H165" s="335">
        <v>1000</v>
      </c>
      <c r="I165" s="335">
        <v>1000</v>
      </c>
    </row>
    <row r="166" spans="1:11">
      <c r="A166" s="324" t="s">
        <v>92</v>
      </c>
      <c r="B166" s="325" t="s">
        <v>93</v>
      </c>
      <c r="C166" s="334" t="s">
        <v>232</v>
      </c>
      <c r="D166" s="335">
        <v>5666</v>
      </c>
      <c r="E166" s="335">
        <v>5666</v>
      </c>
      <c r="F166" s="334" t="s">
        <v>234</v>
      </c>
      <c r="G166" s="335">
        <v>5666</v>
      </c>
      <c r="H166" s="335">
        <v>5666</v>
      </c>
      <c r="I166" s="335">
        <v>5666</v>
      </c>
    </row>
    <row r="167" spans="1:11">
      <c r="A167" s="332">
        <v>423</v>
      </c>
      <c r="B167" s="321" t="s">
        <v>361</v>
      </c>
      <c r="C167" s="334" t="s">
        <v>232</v>
      </c>
      <c r="D167" s="323">
        <f>SUM(D168:D169)</f>
        <v>300000</v>
      </c>
      <c r="E167" s="323">
        <f>SUM(E168:E169)</f>
        <v>300000</v>
      </c>
      <c r="F167" s="323"/>
      <c r="G167" s="323">
        <f>G168+G169</f>
        <v>150000</v>
      </c>
      <c r="H167" s="323">
        <f t="shared" ref="H167:I167" si="44">H168+H169</f>
        <v>0</v>
      </c>
      <c r="I167" s="323">
        <f t="shared" si="44"/>
        <v>0</v>
      </c>
    </row>
    <row r="168" spans="1:11">
      <c r="A168" s="324">
        <v>4231</v>
      </c>
      <c r="B168" s="325" t="s">
        <v>362</v>
      </c>
      <c r="C168" s="334" t="s">
        <v>232</v>
      </c>
      <c r="D168" s="335">
        <v>45000</v>
      </c>
      <c r="E168" s="335">
        <v>45000</v>
      </c>
      <c r="F168" s="334" t="s">
        <v>82</v>
      </c>
      <c r="G168" s="335">
        <v>22500</v>
      </c>
      <c r="H168" s="335">
        <v>0</v>
      </c>
      <c r="I168" s="335">
        <v>0</v>
      </c>
    </row>
    <row r="169" spans="1:11">
      <c r="A169" s="324">
        <v>4231</v>
      </c>
      <c r="B169" s="325" t="s">
        <v>362</v>
      </c>
      <c r="C169" s="334" t="s">
        <v>232</v>
      </c>
      <c r="D169" s="335">
        <v>255000</v>
      </c>
      <c r="E169" s="335">
        <v>255000</v>
      </c>
      <c r="F169" s="334" t="s">
        <v>234</v>
      </c>
      <c r="G169" s="335">
        <v>127500</v>
      </c>
      <c r="H169" s="335">
        <v>0</v>
      </c>
      <c r="I169" s="335">
        <v>0</v>
      </c>
      <c r="J169" s="463"/>
    </row>
    <row r="170" spans="1:11">
      <c r="A170" s="332">
        <v>426</v>
      </c>
      <c r="B170" s="342" t="s">
        <v>363</v>
      </c>
      <c r="C170" s="334" t="s">
        <v>232</v>
      </c>
      <c r="D170" s="323">
        <f>SUM(D171:D172)</f>
        <v>489375</v>
      </c>
      <c r="E170" s="323">
        <f>SUM(E171:E172)</f>
        <v>1350000</v>
      </c>
      <c r="F170" s="323"/>
      <c r="G170" s="323">
        <f t="shared" ref="G170:I170" si="45">SUM(G171:G172)</f>
        <v>262746</v>
      </c>
      <c r="H170" s="323">
        <f t="shared" si="45"/>
        <v>470588</v>
      </c>
      <c r="I170" s="323">
        <f t="shared" si="45"/>
        <v>0</v>
      </c>
      <c r="J170" s="520"/>
    </row>
    <row r="171" spans="1:11">
      <c r="A171" s="324">
        <v>4262</v>
      </c>
      <c r="B171" s="325" t="s">
        <v>182</v>
      </c>
      <c r="C171" s="334" t="s">
        <v>232</v>
      </c>
      <c r="D171" s="335">
        <v>202500</v>
      </c>
      <c r="E171" s="335">
        <v>202500</v>
      </c>
      <c r="F171" s="334" t="s">
        <v>82</v>
      </c>
      <c r="G171" s="335">
        <v>39412</v>
      </c>
      <c r="H171" s="335">
        <v>70588</v>
      </c>
      <c r="I171" s="335">
        <v>0</v>
      </c>
      <c r="J171" s="22"/>
    </row>
    <row r="172" spans="1:11">
      <c r="A172" s="324">
        <v>4262</v>
      </c>
      <c r="B172" s="325" t="s">
        <v>182</v>
      </c>
      <c r="C172" s="334" t="s">
        <v>232</v>
      </c>
      <c r="D172" s="335">
        <f>1147500-860625</f>
        <v>286875</v>
      </c>
      <c r="E172" s="335">
        <v>1147500</v>
      </c>
      <c r="F172" s="334" t="s">
        <v>234</v>
      </c>
      <c r="G172" s="335">
        <v>223334</v>
      </c>
      <c r="H172" s="335">
        <v>400000</v>
      </c>
      <c r="I172" s="335">
        <v>0</v>
      </c>
    </row>
    <row r="173" spans="1:11">
      <c r="A173" s="316" t="s">
        <v>459</v>
      </c>
      <c r="B173" s="317" t="s">
        <v>473</v>
      </c>
      <c r="C173" s="318" t="s">
        <v>232</v>
      </c>
      <c r="D173" s="319" t="e">
        <f>D174+D176+#REF!+D180</f>
        <v>#REF!</v>
      </c>
      <c r="E173" s="319" t="e">
        <f>E174+#REF!+E180+E184+E198+E213+#REF!+#REF!+E215+#REF!+#REF!+#REF!+E191</f>
        <v>#REF!</v>
      </c>
      <c r="F173" s="319"/>
      <c r="G173" s="319">
        <f>G174+G176+G180</f>
        <v>119529412</v>
      </c>
      <c r="H173" s="319">
        <f t="shared" ref="H173:I173" si="46">H174+H176+H180</f>
        <v>440558412</v>
      </c>
      <c r="I173" s="319">
        <f t="shared" si="46"/>
        <v>485087824</v>
      </c>
    </row>
    <row r="174" spans="1:11">
      <c r="A174" s="320" t="s">
        <v>460</v>
      </c>
      <c r="B174" s="321" t="s">
        <v>461</v>
      </c>
      <c r="C174" s="340" t="s">
        <v>232</v>
      </c>
      <c r="D174" s="331">
        <f>D175</f>
        <v>18750993</v>
      </c>
      <c r="E174" s="331">
        <f t="shared" ref="E174:F174" si="47">E175</f>
        <v>0</v>
      </c>
      <c r="F174" s="468" t="str">
        <f t="shared" si="47"/>
        <v>563</v>
      </c>
      <c r="G174" s="331">
        <f>G175</f>
        <v>500000</v>
      </c>
      <c r="H174" s="331">
        <f t="shared" ref="H174:I174" si="48">H175</f>
        <v>4000000</v>
      </c>
      <c r="I174" s="331">
        <f t="shared" si="48"/>
        <v>6000000</v>
      </c>
      <c r="J174" s="22"/>
      <c r="K174" s="22"/>
    </row>
    <row r="175" spans="1:11">
      <c r="A175" s="336" t="s">
        <v>462</v>
      </c>
      <c r="B175" s="337" t="s">
        <v>370</v>
      </c>
      <c r="C175" s="340" t="s">
        <v>232</v>
      </c>
      <c r="D175" s="341">
        <v>18750993</v>
      </c>
      <c r="E175" s="341"/>
      <c r="F175" s="340" t="s">
        <v>234</v>
      </c>
      <c r="G175" s="341">
        <v>500000</v>
      </c>
      <c r="H175" s="341">
        <v>4000000</v>
      </c>
      <c r="I175" s="341">
        <v>6000000</v>
      </c>
      <c r="J175" s="22"/>
      <c r="K175" s="22"/>
    </row>
    <row r="176" spans="1:11">
      <c r="A176" s="320" t="s">
        <v>342</v>
      </c>
      <c r="B176" s="321" t="s">
        <v>79</v>
      </c>
      <c r="C176" s="333" t="s">
        <v>232</v>
      </c>
      <c r="D176" s="323">
        <f>D178+D179</f>
        <v>309391376</v>
      </c>
      <c r="E176" s="341"/>
      <c r="F176" s="340"/>
      <c r="G176" s="331">
        <f>G178+G179+G177</f>
        <v>119029412</v>
      </c>
      <c r="H176" s="331">
        <f>H178+H179+H177</f>
        <v>221558412</v>
      </c>
      <c r="I176" s="331">
        <f>I178+I179+I177</f>
        <v>263462824</v>
      </c>
      <c r="K176" s="264"/>
    </row>
    <row r="177" spans="1:12">
      <c r="A177" s="467">
        <v>5163</v>
      </c>
      <c r="B177" s="469" t="s">
        <v>344</v>
      </c>
      <c r="C177" s="340" t="s">
        <v>232</v>
      </c>
      <c r="D177" s="323"/>
      <c r="E177" s="341"/>
      <c r="F177" s="340" t="s">
        <v>82</v>
      </c>
      <c r="G177" s="341">
        <v>0</v>
      </c>
      <c r="H177" s="341">
        <v>5029412</v>
      </c>
      <c r="I177" s="341">
        <v>10058824</v>
      </c>
      <c r="J177" s="22"/>
      <c r="K177" s="22"/>
      <c r="L177" s="22"/>
    </row>
    <row r="178" spans="1:12">
      <c r="A178" s="467">
        <v>5163</v>
      </c>
      <c r="B178" s="469" t="s">
        <v>344</v>
      </c>
      <c r="C178" s="340" t="s">
        <v>232</v>
      </c>
      <c r="D178" s="335">
        <v>46877482</v>
      </c>
      <c r="E178" s="341"/>
      <c r="F178" s="340" t="s">
        <v>234</v>
      </c>
      <c r="G178" s="539">
        <v>91500000</v>
      </c>
      <c r="H178" s="341">
        <v>112500000</v>
      </c>
      <c r="I178" s="341">
        <v>112500000</v>
      </c>
      <c r="J178" s="22"/>
      <c r="K178" s="22"/>
      <c r="L178" s="22"/>
    </row>
    <row r="179" spans="1:12">
      <c r="A179" s="467">
        <v>5164</v>
      </c>
      <c r="B179" s="469" t="s">
        <v>345</v>
      </c>
      <c r="C179" s="340" t="s">
        <v>232</v>
      </c>
      <c r="D179" s="341">
        <v>262513894</v>
      </c>
      <c r="E179" s="341"/>
      <c r="F179" s="340" t="s">
        <v>234</v>
      </c>
      <c r="G179" s="539">
        <v>27529412</v>
      </c>
      <c r="H179" s="539">
        <v>104029000</v>
      </c>
      <c r="I179" s="539">
        <v>140904000</v>
      </c>
    </row>
    <row r="180" spans="1:12">
      <c r="A180" s="332">
        <v>518</v>
      </c>
      <c r="B180" s="321" t="s">
        <v>428</v>
      </c>
      <c r="C180" s="333" t="s">
        <v>232</v>
      </c>
      <c r="D180" s="331"/>
      <c r="E180" s="331"/>
      <c r="F180" s="333"/>
      <c r="G180" s="331">
        <f>G181+G182</f>
        <v>0</v>
      </c>
      <c r="H180" s="331">
        <f t="shared" ref="H180:I180" si="49">H181+H182</f>
        <v>215000000</v>
      </c>
      <c r="I180" s="331">
        <f t="shared" si="49"/>
        <v>215625000</v>
      </c>
    </row>
    <row r="181" spans="1:12">
      <c r="A181" s="467">
        <v>5181</v>
      </c>
      <c r="B181" s="469" t="s">
        <v>429</v>
      </c>
      <c r="C181" s="340" t="s">
        <v>232</v>
      </c>
      <c r="D181" s="331"/>
      <c r="E181" s="331"/>
      <c r="F181" s="340" t="s">
        <v>82</v>
      </c>
      <c r="G181" s="341">
        <v>0</v>
      </c>
      <c r="H181" s="341">
        <v>75000000</v>
      </c>
      <c r="I181" s="341">
        <v>112500000</v>
      </c>
    </row>
    <row r="182" spans="1:12">
      <c r="A182" s="467">
        <v>5181</v>
      </c>
      <c r="B182" s="469" t="s">
        <v>429</v>
      </c>
      <c r="C182" s="340" t="s">
        <v>232</v>
      </c>
      <c r="D182" s="341"/>
      <c r="E182" s="341"/>
      <c r="F182" s="340" t="s">
        <v>234</v>
      </c>
      <c r="G182" s="341">
        <v>0</v>
      </c>
      <c r="H182" s="341">
        <v>140000000</v>
      </c>
      <c r="I182" s="341">
        <v>103125000</v>
      </c>
    </row>
    <row r="183" spans="1:12">
      <c r="A183" s="316" t="s">
        <v>385</v>
      </c>
      <c r="B183" s="317" t="s">
        <v>369</v>
      </c>
      <c r="C183" s="318" t="s">
        <v>232</v>
      </c>
      <c r="D183" s="319">
        <f>D184+D187+D189+D192+D196+D199+D208+D212+D214+D216</f>
        <v>673772</v>
      </c>
      <c r="E183" s="319">
        <f>E184+E187+E189+E192+E196+E199+E208+E212+E214+E216</f>
        <v>-29565</v>
      </c>
      <c r="F183" s="319"/>
      <c r="G183" s="319">
        <f>G184+G187+G189+G192+G196+G199+G208+G212+G214+G216+G210</f>
        <v>7889101</v>
      </c>
      <c r="H183" s="319">
        <f t="shared" ref="H183:I183" si="50">H184+H187+H189+H192+H196+H199+H208+H212+H214+H216+H210</f>
        <v>11269571</v>
      </c>
      <c r="I183" s="319">
        <f t="shared" si="50"/>
        <v>14522575.998</v>
      </c>
    </row>
    <row r="184" spans="1:12">
      <c r="A184" s="320" t="s">
        <v>1</v>
      </c>
      <c r="B184" s="321" t="s">
        <v>2</v>
      </c>
      <c r="C184" s="322" t="s">
        <v>232</v>
      </c>
      <c r="D184" s="323">
        <f>D185+D186</f>
        <v>530548</v>
      </c>
      <c r="E184" s="323">
        <f>E185+E186</f>
        <v>0</v>
      </c>
      <c r="F184" s="323"/>
      <c r="G184" s="323">
        <f t="shared" ref="G184:I184" si="51">G185+G186</f>
        <v>3531630</v>
      </c>
      <c r="H184" s="323">
        <f t="shared" si="51"/>
        <v>5646630</v>
      </c>
      <c r="I184" s="323">
        <f t="shared" si="51"/>
        <v>5659364</v>
      </c>
    </row>
    <row r="185" spans="1:12">
      <c r="A185" s="324" t="s">
        <v>3</v>
      </c>
      <c r="B185" s="325" t="s">
        <v>4</v>
      </c>
      <c r="C185" s="334" t="s">
        <v>232</v>
      </c>
      <c r="D185" s="335">
        <f>265274+265274</f>
        <v>530548</v>
      </c>
      <c r="E185" s="335">
        <v>0</v>
      </c>
      <c r="F185" s="334" t="s">
        <v>234</v>
      </c>
      <c r="G185" s="335">
        <v>3486630</v>
      </c>
      <c r="H185" s="335">
        <f>G185+1980000</f>
        <v>5466630</v>
      </c>
      <c r="I185" s="335">
        <v>5469364</v>
      </c>
    </row>
    <row r="186" spans="1:12">
      <c r="A186" s="324" t="s">
        <v>5</v>
      </c>
      <c r="B186" s="325" t="s">
        <v>6</v>
      </c>
      <c r="C186" s="334" t="s">
        <v>232</v>
      </c>
      <c r="D186" s="335">
        <v>0</v>
      </c>
      <c r="E186" s="335">
        <v>0</v>
      </c>
      <c r="F186" s="334" t="s">
        <v>234</v>
      </c>
      <c r="G186" s="335">
        <v>45000</v>
      </c>
      <c r="H186" s="335">
        <v>180000</v>
      </c>
      <c r="I186" s="335">
        <v>190000</v>
      </c>
    </row>
    <row r="187" spans="1:12">
      <c r="A187" s="320" t="s">
        <v>7</v>
      </c>
      <c r="B187" s="321" t="s">
        <v>8</v>
      </c>
      <c r="C187" s="322" t="s">
        <v>232</v>
      </c>
      <c r="D187" s="323">
        <f>SUM(D188)</f>
        <v>0</v>
      </c>
      <c r="E187" s="323">
        <f>SUM(E188)</f>
        <v>0</v>
      </c>
      <c r="F187" s="323"/>
      <c r="G187" s="323">
        <f t="shared" ref="G187:I187" si="52">SUM(G188)</f>
        <v>105000</v>
      </c>
      <c r="H187" s="323">
        <f t="shared" si="52"/>
        <v>300000</v>
      </c>
      <c r="I187" s="323">
        <f t="shared" si="52"/>
        <v>3000000</v>
      </c>
    </row>
    <row r="188" spans="1:12">
      <c r="A188" s="324" t="s">
        <v>9</v>
      </c>
      <c r="B188" s="325" t="s">
        <v>8</v>
      </c>
      <c r="C188" s="334" t="s">
        <v>232</v>
      </c>
      <c r="D188" s="335">
        <v>0</v>
      </c>
      <c r="E188" s="335">
        <v>0</v>
      </c>
      <c r="F188" s="334" t="s">
        <v>234</v>
      </c>
      <c r="G188" s="335">
        <v>105000</v>
      </c>
      <c r="H188" s="335">
        <v>300000</v>
      </c>
      <c r="I188" s="335">
        <v>3000000</v>
      </c>
    </row>
    <row r="189" spans="1:12">
      <c r="A189" s="320" t="s">
        <v>10</v>
      </c>
      <c r="B189" s="321" t="s">
        <v>11</v>
      </c>
      <c r="C189" s="322" t="s">
        <v>232</v>
      </c>
      <c r="D189" s="323">
        <f>D190+D191</f>
        <v>110212</v>
      </c>
      <c r="E189" s="323">
        <f>E190+E191</f>
        <v>0</v>
      </c>
      <c r="F189" s="323"/>
      <c r="G189" s="323">
        <f t="shared" ref="G189:I189" si="53">G190+G191</f>
        <v>569826</v>
      </c>
      <c r="H189" s="323">
        <f t="shared" si="53"/>
        <v>971221</v>
      </c>
      <c r="I189" s="323">
        <f t="shared" si="53"/>
        <v>973411.99800000002</v>
      </c>
    </row>
    <row r="190" spans="1:12">
      <c r="A190" s="324" t="s">
        <v>12</v>
      </c>
      <c r="B190" s="325" t="s">
        <v>13</v>
      </c>
      <c r="C190" s="334" t="s">
        <v>232</v>
      </c>
      <c r="D190" s="335">
        <f>49659+49659</f>
        <v>99318</v>
      </c>
      <c r="E190" s="335">
        <v>0</v>
      </c>
      <c r="F190" s="334" t="s">
        <v>234</v>
      </c>
      <c r="G190" s="335">
        <v>513506</v>
      </c>
      <c r="H190" s="335">
        <f>H184*15.5/100+0.35</f>
        <v>875228</v>
      </c>
      <c r="I190" s="335">
        <f>I184*15.5/100+0.58</f>
        <v>877202</v>
      </c>
    </row>
    <row r="191" spans="1:12">
      <c r="A191" s="324" t="s">
        <v>14</v>
      </c>
      <c r="B191" s="325" t="s">
        <v>15</v>
      </c>
      <c r="C191" s="334" t="s">
        <v>232</v>
      </c>
      <c r="D191" s="335">
        <f>5447+5447</f>
        <v>10894</v>
      </c>
      <c r="E191" s="335">
        <v>0</v>
      </c>
      <c r="F191" s="334" t="s">
        <v>234</v>
      </c>
      <c r="G191" s="335">
        <v>56320</v>
      </c>
      <c r="H191" s="335">
        <f>H184*1.7/100+0.29</f>
        <v>95993</v>
      </c>
      <c r="I191" s="335">
        <f>I184*1.7/100+0.81</f>
        <v>96209.997999999992</v>
      </c>
    </row>
    <row r="192" spans="1:12">
      <c r="A192" s="320" t="s">
        <v>16</v>
      </c>
      <c r="B192" s="321" t="s">
        <v>17</v>
      </c>
      <c r="C192" s="322" t="s">
        <v>232</v>
      </c>
      <c r="D192" s="323">
        <f>D193+D194+D195</f>
        <v>14772</v>
      </c>
      <c r="E192" s="323">
        <f>E193+E194+E195</f>
        <v>-13021</v>
      </c>
      <c r="F192" s="323"/>
      <c r="G192" s="323">
        <f t="shared" ref="G192:I192" si="54">G193+G194+G195</f>
        <v>280645</v>
      </c>
      <c r="H192" s="323">
        <f t="shared" si="54"/>
        <v>727120</v>
      </c>
      <c r="I192" s="323">
        <f t="shared" si="54"/>
        <v>740000</v>
      </c>
    </row>
    <row r="193" spans="1:11">
      <c r="A193" s="336" t="s">
        <v>18</v>
      </c>
      <c r="B193" s="337" t="s">
        <v>19</v>
      </c>
      <c r="C193" s="334" t="s">
        <v>232</v>
      </c>
      <c r="D193" s="335">
        <v>4628</v>
      </c>
      <c r="E193" s="338">
        <v>-10285</v>
      </c>
      <c r="F193" s="334" t="s">
        <v>234</v>
      </c>
      <c r="G193" s="335">
        <v>98325</v>
      </c>
      <c r="H193" s="335">
        <v>300000</v>
      </c>
      <c r="I193" s="335">
        <v>300000</v>
      </c>
    </row>
    <row r="194" spans="1:11">
      <c r="A194" s="336" t="s">
        <v>20</v>
      </c>
      <c r="B194" s="337" t="s">
        <v>21</v>
      </c>
      <c r="C194" s="334" t="s">
        <v>232</v>
      </c>
      <c r="D194" s="335">
        <v>7407</v>
      </c>
      <c r="E194" s="335">
        <v>0</v>
      </c>
      <c r="F194" s="334" t="s">
        <v>234</v>
      </c>
      <c r="G194" s="335">
        <v>112320</v>
      </c>
      <c r="H194" s="335">
        <v>177120</v>
      </c>
      <c r="I194" s="335">
        <v>190000</v>
      </c>
    </row>
    <row r="195" spans="1:11">
      <c r="A195" s="336" t="s">
        <v>22</v>
      </c>
      <c r="B195" s="337" t="s">
        <v>23</v>
      </c>
      <c r="C195" s="334" t="s">
        <v>232</v>
      </c>
      <c r="D195" s="335">
        <v>2737</v>
      </c>
      <c r="E195" s="338">
        <v>-2736</v>
      </c>
      <c r="F195" s="334" t="s">
        <v>234</v>
      </c>
      <c r="G195" s="335">
        <v>70000</v>
      </c>
      <c r="H195" s="335">
        <v>250000</v>
      </c>
      <c r="I195" s="335">
        <v>250000</v>
      </c>
    </row>
    <row r="196" spans="1:11">
      <c r="A196" s="320" t="s">
        <v>24</v>
      </c>
      <c r="B196" s="321" t="s">
        <v>25</v>
      </c>
      <c r="C196" s="322" t="s">
        <v>232</v>
      </c>
      <c r="D196" s="323">
        <f>SUM(D197:D198)</f>
        <v>0</v>
      </c>
      <c r="E196" s="323">
        <f>SUM(E197:E198)</f>
        <v>0</v>
      </c>
      <c r="F196" s="323"/>
      <c r="G196" s="323">
        <f t="shared" ref="G196:I196" si="55">SUM(G197:G198)</f>
        <v>80000</v>
      </c>
      <c r="H196" s="323">
        <f t="shared" si="55"/>
        <v>160000</v>
      </c>
      <c r="I196" s="323">
        <f t="shared" si="55"/>
        <v>160000</v>
      </c>
    </row>
    <row r="197" spans="1:11">
      <c r="A197" s="324" t="s">
        <v>26</v>
      </c>
      <c r="B197" s="325" t="s">
        <v>27</v>
      </c>
      <c r="C197" s="334" t="s">
        <v>232</v>
      </c>
      <c r="D197" s="335">
        <v>0</v>
      </c>
      <c r="E197" s="335">
        <v>0</v>
      </c>
      <c r="F197" s="334" t="s">
        <v>234</v>
      </c>
      <c r="G197" s="335">
        <v>50000</v>
      </c>
      <c r="H197" s="335">
        <v>100000</v>
      </c>
      <c r="I197" s="335">
        <v>100000</v>
      </c>
    </row>
    <row r="198" spans="1:11">
      <c r="A198" s="324" t="s">
        <v>28</v>
      </c>
      <c r="B198" s="330" t="s">
        <v>29</v>
      </c>
      <c r="C198" s="334" t="s">
        <v>232</v>
      </c>
      <c r="D198" s="341">
        <v>0</v>
      </c>
      <c r="E198" s="341">
        <v>0</v>
      </c>
      <c r="F198" s="340" t="s">
        <v>234</v>
      </c>
      <c r="G198" s="341">
        <v>30000</v>
      </c>
      <c r="H198" s="341">
        <v>60000</v>
      </c>
      <c r="I198" s="341">
        <v>60000</v>
      </c>
    </row>
    <row r="199" spans="1:11">
      <c r="A199" s="320" t="s">
        <v>34</v>
      </c>
      <c r="B199" s="321" t="s">
        <v>35</v>
      </c>
      <c r="C199" s="322" t="s">
        <v>232</v>
      </c>
      <c r="D199" s="331">
        <f>SUM(D200:D207)</f>
        <v>1950</v>
      </c>
      <c r="E199" s="331">
        <f>SUM(E200:E207)</f>
        <v>-254</v>
      </c>
      <c r="F199" s="331"/>
      <c r="G199" s="331">
        <f t="shared" ref="G199:I199" si="56">SUM(G200:G207)</f>
        <v>1720000</v>
      </c>
      <c r="H199" s="331">
        <f t="shared" si="56"/>
        <v>2450000</v>
      </c>
      <c r="I199" s="331">
        <f t="shared" si="56"/>
        <v>3500000</v>
      </c>
    </row>
    <row r="200" spans="1:11">
      <c r="A200" s="336" t="s">
        <v>36</v>
      </c>
      <c r="B200" s="337" t="s">
        <v>37</v>
      </c>
      <c r="C200" s="334" t="s">
        <v>232</v>
      </c>
      <c r="D200" s="341">
        <v>0</v>
      </c>
      <c r="E200" s="341">
        <v>0</v>
      </c>
      <c r="F200" s="340" t="s">
        <v>234</v>
      </c>
      <c r="G200" s="341">
        <v>50000</v>
      </c>
      <c r="H200" s="341">
        <v>50000</v>
      </c>
      <c r="I200" s="341">
        <v>50000</v>
      </c>
    </row>
    <row r="201" spans="1:11">
      <c r="A201" s="336" t="s">
        <v>38</v>
      </c>
      <c r="B201" s="337" t="s">
        <v>39</v>
      </c>
      <c r="C201" s="334" t="s">
        <v>232</v>
      </c>
      <c r="D201" s="341">
        <v>0</v>
      </c>
      <c r="E201" s="341">
        <v>0</v>
      </c>
      <c r="F201" s="340" t="s">
        <v>234</v>
      </c>
      <c r="G201" s="341">
        <v>20000</v>
      </c>
      <c r="H201" s="341">
        <v>50000</v>
      </c>
      <c r="I201" s="341">
        <v>50000</v>
      </c>
    </row>
    <row r="202" spans="1:11">
      <c r="A202" s="336" t="s">
        <v>40</v>
      </c>
      <c r="B202" s="337" t="s">
        <v>41</v>
      </c>
      <c r="C202" s="334" t="s">
        <v>232</v>
      </c>
      <c r="D202" s="327">
        <v>0</v>
      </c>
      <c r="E202" s="328">
        <v>-254</v>
      </c>
      <c r="F202" s="340" t="s">
        <v>234</v>
      </c>
      <c r="G202" s="341">
        <v>1200000</v>
      </c>
      <c r="H202" s="341">
        <v>1500000</v>
      </c>
      <c r="I202" s="341">
        <v>2500000</v>
      </c>
    </row>
    <row r="203" spans="1:11">
      <c r="A203" s="336" t="s">
        <v>42</v>
      </c>
      <c r="B203" s="337" t="s">
        <v>43</v>
      </c>
      <c r="C203" s="334" t="s">
        <v>232</v>
      </c>
      <c r="D203" s="327">
        <v>0</v>
      </c>
      <c r="E203" s="327">
        <v>0</v>
      </c>
      <c r="F203" s="340" t="s">
        <v>234</v>
      </c>
      <c r="G203" s="341">
        <v>20000</v>
      </c>
      <c r="H203" s="341">
        <v>50000</v>
      </c>
      <c r="I203" s="341">
        <v>50000</v>
      </c>
    </row>
    <row r="204" spans="1:11">
      <c r="A204" s="336" t="s">
        <v>44</v>
      </c>
      <c r="B204" s="337" t="s">
        <v>45</v>
      </c>
      <c r="C204" s="334" t="s">
        <v>232</v>
      </c>
      <c r="D204" s="327">
        <v>1950</v>
      </c>
      <c r="E204" s="327">
        <v>0</v>
      </c>
      <c r="F204" s="340" t="s">
        <v>234</v>
      </c>
      <c r="G204" s="341">
        <v>50000</v>
      </c>
      <c r="H204" s="341">
        <v>200000</v>
      </c>
      <c r="I204" s="341">
        <v>200000</v>
      </c>
    </row>
    <row r="205" spans="1:11">
      <c r="A205" s="336" t="s">
        <v>48</v>
      </c>
      <c r="B205" s="337" t="s">
        <v>49</v>
      </c>
      <c r="C205" s="334" t="s">
        <v>232</v>
      </c>
      <c r="D205" s="327">
        <v>0</v>
      </c>
      <c r="E205" s="327">
        <v>0</v>
      </c>
      <c r="F205" s="340" t="s">
        <v>234</v>
      </c>
      <c r="G205" s="341">
        <v>200000</v>
      </c>
      <c r="H205" s="341">
        <v>200000</v>
      </c>
      <c r="I205" s="341">
        <v>200000</v>
      </c>
    </row>
    <row r="206" spans="1:11">
      <c r="A206" s="336" t="s">
        <v>50</v>
      </c>
      <c r="B206" s="337" t="s">
        <v>51</v>
      </c>
      <c r="C206" s="334" t="s">
        <v>232</v>
      </c>
      <c r="D206" s="327">
        <v>0</v>
      </c>
      <c r="E206" s="327">
        <v>0</v>
      </c>
      <c r="F206" s="340" t="s">
        <v>234</v>
      </c>
      <c r="G206" s="341">
        <v>30000</v>
      </c>
      <c r="H206" s="341">
        <v>200000</v>
      </c>
      <c r="I206" s="341">
        <v>200000</v>
      </c>
    </row>
    <row r="207" spans="1:11">
      <c r="A207" s="336" t="s">
        <v>52</v>
      </c>
      <c r="B207" s="337" t="s">
        <v>53</v>
      </c>
      <c r="C207" s="334" t="s">
        <v>232</v>
      </c>
      <c r="D207" s="327">
        <v>0</v>
      </c>
      <c r="E207" s="327">
        <v>0</v>
      </c>
      <c r="F207" s="340" t="s">
        <v>234</v>
      </c>
      <c r="G207" s="341">
        <v>150000</v>
      </c>
      <c r="H207" s="341">
        <v>200000</v>
      </c>
      <c r="I207" s="341">
        <v>250000</v>
      </c>
      <c r="K207" s="264"/>
    </row>
    <row r="208" spans="1:11">
      <c r="A208" s="332" t="s">
        <v>57</v>
      </c>
      <c r="B208" s="321" t="s">
        <v>58</v>
      </c>
      <c r="C208" s="322" t="s">
        <v>232</v>
      </c>
      <c r="D208" s="331">
        <f>SUM(D209)</f>
        <v>1290</v>
      </c>
      <c r="E208" s="331">
        <f>SUM(E209)</f>
        <v>-1290</v>
      </c>
      <c r="F208" s="331"/>
      <c r="G208" s="331">
        <f t="shared" ref="G208:I208" si="57">SUM(G209)</f>
        <v>50000</v>
      </c>
      <c r="H208" s="331">
        <f t="shared" si="57"/>
        <v>250000</v>
      </c>
      <c r="I208" s="331">
        <f t="shared" si="57"/>
        <v>25000</v>
      </c>
    </row>
    <row r="209" spans="1:12">
      <c r="A209" s="339" t="s">
        <v>63</v>
      </c>
      <c r="B209" s="337" t="s">
        <v>64</v>
      </c>
      <c r="C209" s="334" t="s">
        <v>232</v>
      </c>
      <c r="D209" s="327">
        <v>1290</v>
      </c>
      <c r="E209" s="328">
        <v>-1290</v>
      </c>
      <c r="F209" s="326" t="s">
        <v>234</v>
      </c>
      <c r="G209" s="341">
        <v>50000</v>
      </c>
      <c r="H209" s="341">
        <v>250000</v>
      </c>
      <c r="I209" s="341">
        <v>25000</v>
      </c>
    </row>
    <row r="210" spans="1:12">
      <c r="A210" s="320" t="s">
        <v>196</v>
      </c>
      <c r="B210" s="321" t="s">
        <v>241</v>
      </c>
      <c r="C210" s="322" t="s">
        <v>232</v>
      </c>
      <c r="D210" s="331">
        <f>D211</f>
        <v>18750993</v>
      </c>
      <c r="E210" s="331">
        <f t="shared" ref="E210:I210" si="58">E211</f>
        <v>0</v>
      </c>
      <c r="F210" s="468" t="str">
        <f t="shared" si="58"/>
        <v>563</v>
      </c>
      <c r="G210" s="331">
        <f t="shared" si="58"/>
        <v>0</v>
      </c>
      <c r="H210" s="331">
        <f t="shared" si="58"/>
        <v>0</v>
      </c>
      <c r="I210" s="331">
        <f t="shared" si="58"/>
        <v>0</v>
      </c>
    </row>
    <row r="211" spans="1:12">
      <c r="A211" s="336" t="s">
        <v>197</v>
      </c>
      <c r="B211" s="337" t="s">
        <v>370</v>
      </c>
      <c r="C211" s="334" t="s">
        <v>232</v>
      </c>
      <c r="D211" s="327">
        <v>18750993</v>
      </c>
      <c r="E211" s="328"/>
      <c r="F211" s="326" t="s">
        <v>234</v>
      </c>
      <c r="G211" s="472">
        <v>0</v>
      </c>
      <c r="H211" s="341">
        <v>0</v>
      </c>
      <c r="I211" s="341">
        <v>0</v>
      </c>
    </row>
    <row r="212" spans="1:12">
      <c r="A212" s="320" t="s">
        <v>83</v>
      </c>
      <c r="B212" s="321" t="s">
        <v>84</v>
      </c>
      <c r="C212" s="322" t="s">
        <v>232</v>
      </c>
      <c r="D212" s="331">
        <f>SUM(D213)</f>
        <v>0</v>
      </c>
      <c r="E212" s="331">
        <f>SUM(E213)</f>
        <v>0</v>
      </c>
      <c r="F212" s="331"/>
      <c r="G212" s="331">
        <f t="shared" ref="G212:I212" si="59">SUM(G213)</f>
        <v>52000</v>
      </c>
      <c r="H212" s="331">
        <f t="shared" si="59"/>
        <v>114600</v>
      </c>
      <c r="I212" s="331">
        <f t="shared" si="59"/>
        <v>64800</v>
      </c>
    </row>
    <row r="213" spans="1:12">
      <c r="A213" s="324" t="s">
        <v>85</v>
      </c>
      <c r="B213" s="325" t="s">
        <v>86</v>
      </c>
      <c r="C213" s="334" t="s">
        <v>232</v>
      </c>
      <c r="D213" s="327">
        <v>0</v>
      </c>
      <c r="E213" s="327">
        <v>0</v>
      </c>
      <c r="F213" s="326" t="s">
        <v>234</v>
      </c>
      <c r="G213" s="341">
        <v>52000</v>
      </c>
      <c r="H213" s="341">
        <v>114600</v>
      </c>
      <c r="I213" s="341">
        <v>64800</v>
      </c>
    </row>
    <row r="214" spans="1:12">
      <c r="A214" s="320" t="s">
        <v>88</v>
      </c>
      <c r="B214" s="321" t="s">
        <v>89</v>
      </c>
      <c r="C214" s="322" t="s">
        <v>232</v>
      </c>
      <c r="D214" s="331">
        <f>D215</f>
        <v>0</v>
      </c>
      <c r="E214" s="331">
        <f>E215</f>
        <v>0</v>
      </c>
      <c r="F214" s="331"/>
      <c r="G214" s="331">
        <f t="shared" ref="G214:I214" si="60">G215</f>
        <v>200000</v>
      </c>
      <c r="H214" s="331">
        <f t="shared" si="60"/>
        <v>250000</v>
      </c>
      <c r="I214" s="331">
        <f t="shared" si="60"/>
        <v>100000</v>
      </c>
      <c r="J214" s="22"/>
      <c r="K214" s="22"/>
      <c r="L214" s="22"/>
    </row>
    <row r="215" spans="1:12">
      <c r="A215" s="324" t="s">
        <v>90</v>
      </c>
      <c r="B215" s="325" t="s">
        <v>91</v>
      </c>
      <c r="C215" s="334" t="s">
        <v>232</v>
      </c>
      <c r="D215" s="327">
        <v>0</v>
      </c>
      <c r="E215" s="327">
        <v>0</v>
      </c>
      <c r="F215" s="326" t="s">
        <v>234</v>
      </c>
      <c r="G215" s="341">
        <v>200000</v>
      </c>
      <c r="H215" s="341">
        <v>250000</v>
      </c>
      <c r="I215" s="341">
        <v>100000</v>
      </c>
      <c r="J215" s="22"/>
      <c r="K215" s="22"/>
      <c r="L215" s="22"/>
    </row>
    <row r="216" spans="1:12">
      <c r="A216" s="324">
        <v>426</v>
      </c>
      <c r="B216" s="342" t="s">
        <v>363</v>
      </c>
      <c r="C216" s="334" t="s">
        <v>232</v>
      </c>
      <c r="D216" s="331">
        <f>D217</f>
        <v>15000</v>
      </c>
      <c r="E216" s="331">
        <f>E217</f>
        <v>-15000</v>
      </c>
      <c r="F216" s="331"/>
      <c r="G216" s="331">
        <f t="shared" ref="G216:I216" si="61">G217</f>
        <v>1300000</v>
      </c>
      <c r="H216" s="331">
        <f t="shared" si="61"/>
        <v>400000</v>
      </c>
      <c r="I216" s="331">
        <f t="shared" si="61"/>
        <v>300000</v>
      </c>
    </row>
    <row r="217" spans="1:12">
      <c r="A217" s="324">
        <v>4262</v>
      </c>
      <c r="B217" s="330" t="s">
        <v>182</v>
      </c>
      <c r="C217" s="334" t="s">
        <v>232</v>
      </c>
      <c r="D217" s="327">
        <v>15000</v>
      </c>
      <c r="E217" s="328">
        <v>-15000</v>
      </c>
      <c r="F217" s="326" t="s">
        <v>234</v>
      </c>
      <c r="G217" s="341">
        <v>1300000</v>
      </c>
      <c r="H217" s="341">
        <v>400000</v>
      </c>
      <c r="I217" s="341">
        <v>300000</v>
      </c>
    </row>
    <row r="218" spans="1:12">
      <c r="A218" s="316" t="s">
        <v>386</v>
      </c>
      <c r="B218" s="317" t="s">
        <v>349</v>
      </c>
      <c r="C218" s="318" t="s">
        <v>232</v>
      </c>
      <c r="D218" s="319">
        <f>D221+D224+D227</f>
        <v>7461511.8000000007</v>
      </c>
      <c r="E218" s="319">
        <f>E221+E224+E227</f>
        <v>7461509</v>
      </c>
      <c r="F218" s="319"/>
      <c r="G218" s="319">
        <f>G221+G224+G227+G219</f>
        <v>6850000</v>
      </c>
      <c r="H218" s="319">
        <f t="shared" ref="H218:I218" si="62">H221+H224+H227+H219</f>
        <v>3850000</v>
      </c>
      <c r="I218" s="319">
        <f t="shared" si="62"/>
        <v>3500000</v>
      </c>
      <c r="J218" s="22"/>
      <c r="K218" s="22"/>
      <c r="L218" s="22"/>
    </row>
    <row r="219" spans="1:12">
      <c r="A219" s="320" t="s">
        <v>430</v>
      </c>
      <c r="B219" s="321" t="s">
        <v>35</v>
      </c>
      <c r="C219" s="326" t="s">
        <v>232</v>
      </c>
      <c r="D219" s="331">
        <f>D220</f>
        <v>0</v>
      </c>
      <c r="E219" s="327"/>
      <c r="F219" s="326"/>
      <c r="G219" s="331">
        <f>G220</f>
        <v>800000</v>
      </c>
      <c r="H219" s="331">
        <f t="shared" ref="H219:I219" si="63">H220</f>
        <v>200000</v>
      </c>
      <c r="I219" s="331">
        <f t="shared" si="63"/>
        <v>0</v>
      </c>
      <c r="J219" s="22"/>
      <c r="K219" s="22"/>
      <c r="L219" s="22"/>
    </row>
    <row r="220" spans="1:12">
      <c r="A220" s="324">
        <v>3237</v>
      </c>
      <c r="B220" s="325" t="s">
        <v>49</v>
      </c>
      <c r="C220" s="326" t="s">
        <v>232</v>
      </c>
      <c r="D220" s="327">
        <v>0</v>
      </c>
      <c r="E220" s="327"/>
      <c r="F220" s="326" t="s">
        <v>0</v>
      </c>
      <c r="G220" s="341">
        <v>800000</v>
      </c>
      <c r="H220" s="341">
        <v>200000</v>
      </c>
      <c r="I220" s="341">
        <v>0</v>
      </c>
    </row>
    <row r="221" spans="1:12">
      <c r="A221" s="320" t="s">
        <v>196</v>
      </c>
      <c r="B221" s="321" t="s">
        <v>340</v>
      </c>
      <c r="C221" s="326" t="s">
        <v>232</v>
      </c>
      <c r="D221" s="331">
        <f>SUM(D222:D223)</f>
        <v>893362.77</v>
      </c>
      <c r="E221" s="331">
        <f>SUM(E222:E223)</f>
        <v>893362</v>
      </c>
      <c r="F221" s="331"/>
      <c r="G221" s="331">
        <f t="shared" ref="G221:I221" si="64">SUM(G222:G223)</f>
        <v>1850000</v>
      </c>
      <c r="H221" s="331">
        <f t="shared" si="64"/>
        <v>150000</v>
      </c>
      <c r="I221" s="331">
        <f t="shared" si="64"/>
        <v>0</v>
      </c>
    </row>
    <row r="222" spans="1:12" s="266" customFormat="1">
      <c r="A222" s="324">
        <v>3522</v>
      </c>
      <c r="B222" s="325" t="s">
        <v>198</v>
      </c>
      <c r="C222" s="326" t="s">
        <v>232</v>
      </c>
      <c r="D222" s="327">
        <f>207439.37+600000</f>
        <v>807439.37</v>
      </c>
      <c r="E222" s="327">
        <v>807439</v>
      </c>
      <c r="F222" s="326" t="s">
        <v>0</v>
      </c>
      <c r="G222" s="341">
        <v>1750000</v>
      </c>
      <c r="H222" s="341">
        <v>150000</v>
      </c>
      <c r="I222" s="341">
        <v>0</v>
      </c>
    </row>
    <row r="223" spans="1:12">
      <c r="A223" s="324">
        <v>3523</v>
      </c>
      <c r="B223" s="325" t="s">
        <v>341</v>
      </c>
      <c r="C223" s="326" t="s">
        <v>232</v>
      </c>
      <c r="D223" s="327">
        <f>85923.4</f>
        <v>85923.4</v>
      </c>
      <c r="E223" s="327">
        <v>85923</v>
      </c>
      <c r="F223" s="326" t="s">
        <v>0</v>
      </c>
      <c r="G223" s="341">
        <v>100000</v>
      </c>
      <c r="H223" s="341">
        <v>0</v>
      </c>
      <c r="I223" s="341">
        <v>0</v>
      </c>
    </row>
    <row r="224" spans="1:12" s="266" customFormat="1">
      <c r="A224" s="332">
        <v>386</v>
      </c>
      <c r="B224" s="321" t="s">
        <v>318</v>
      </c>
      <c r="C224" s="326" t="s">
        <v>232</v>
      </c>
      <c r="D224" s="331">
        <f>SUM(D225:D226)</f>
        <v>3559380.12</v>
      </c>
      <c r="E224" s="331">
        <f>SUM(E225:E226)</f>
        <v>3559379</v>
      </c>
      <c r="F224" s="331"/>
      <c r="G224" s="331">
        <f t="shared" ref="G224:I224" si="65">SUM(G225:G226)</f>
        <v>700000</v>
      </c>
      <c r="H224" s="331">
        <f t="shared" si="65"/>
        <v>0</v>
      </c>
      <c r="I224" s="331">
        <f t="shared" si="65"/>
        <v>0</v>
      </c>
    </row>
    <row r="225" spans="1:13" s="266" customFormat="1">
      <c r="A225" s="324">
        <v>3862</v>
      </c>
      <c r="B225" s="325" t="s">
        <v>347</v>
      </c>
      <c r="C225" s="326" t="s">
        <v>232</v>
      </c>
      <c r="D225" s="327">
        <v>2859795.69</v>
      </c>
      <c r="E225" s="327">
        <v>2859795</v>
      </c>
      <c r="F225" s="326" t="s">
        <v>0</v>
      </c>
      <c r="G225" s="341">
        <v>500000</v>
      </c>
      <c r="H225" s="341">
        <v>0</v>
      </c>
      <c r="I225" s="341">
        <v>0</v>
      </c>
    </row>
    <row r="226" spans="1:13">
      <c r="A226" s="324">
        <v>3863</v>
      </c>
      <c r="B226" s="325" t="s">
        <v>348</v>
      </c>
      <c r="C226" s="326" t="s">
        <v>232</v>
      </c>
      <c r="D226" s="327">
        <v>699584.43</v>
      </c>
      <c r="E226" s="327">
        <v>699584</v>
      </c>
      <c r="F226" s="326" t="s">
        <v>0</v>
      </c>
      <c r="G226" s="341">
        <v>200000</v>
      </c>
      <c r="H226" s="341">
        <v>0</v>
      </c>
      <c r="I226" s="341">
        <v>0</v>
      </c>
    </row>
    <row r="227" spans="1:13" s="266" customFormat="1">
      <c r="A227" s="320" t="s">
        <v>364</v>
      </c>
      <c r="B227" s="321" t="s">
        <v>365</v>
      </c>
      <c r="C227" s="326" t="s">
        <v>232</v>
      </c>
      <c r="D227" s="323">
        <f>D228</f>
        <v>3008768.91</v>
      </c>
      <c r="E227" s="323">
        <f>E228</f>
        <v>3008768</v>
      </c>
      <c r="F227" s="323"/>
      <c r="G227" s="323">
        <f t="shared" ref="G227:I227" si="66">G228</f>
        <v>3500000</v>
      </c>
      <c r="H227" s="323">
        <f t="shared" si="66"/>
        <v>3500000</v>
      </c>
      <c r="I227" s="323">
        <f t="shared" si="66"/>
        <v>3500000</v>
      </c>
    </row>
    <row r="228" spans="1:13">
      <c r="A228" s="336" t="s">
        <v>366</v>
      </c>
      <c r="B228" s="337" t="s">
        <v>365</v>
      </c>
      <c r="C228" s="326" t="s">
        <v>232</v>
      </c>
      <c r="D228" s="335">
        <v>3008768.91</v>
      </c>
      <c r="E228" s="335">
        <v>3008768</v>
      </c>
      <c r="F228" s="334" t="s">
        <v>82</v>
      </c>
      <c r="G228" s="335">
        <v>3500000</v>
      </c>
      <c r="H228" s="335">
        <v>3500000</v>
      </c>
      <c r="I228" s="335">
        <v>3500000</v>
      </c>
    </row>
    <row r="229" spans="1:13" s="266" customFormat="1">
      <c r="A229" s="316" t="s">
        <v>387</v>
      </c>
      <c r="B229" s="317" t="s">
        <v>388</v>
      </c>
      <c r="C229" s="318" t="s">
        <v>232</v>
      </c>
      <c r="D229" s="319">
        <f>D230+D233+D240+D246+D243</f>
        <v>4588344.2200000007</v>
      </c>
      <c r="E229" s="319">
        <f>E230+E233+E240+E246+E243</f>
        <v>4588341</v>
      </c>
      <c r="F229" s="319"/>
      <c r="G229" s="319">
        <f>G230+G233+G240+G246+G243</f>
        <v>8236000</v>
      </c>
      <c r="H229" s="319">
        <f>H230+H233+H240+H246+H243</f>
        <v>8354105</v>
      </c>
      <c r="I229" s="319">
        <f>I230+I233+I240+I246+I243</f>
        <v>8673542</v>
      </c>
    </row>
    <row r="230" spans="1:13">
      <c r="A230" s="320" t="s">
        <v>16</v>
      </c>
      <c r="B230" s="321" t="s">
        <v>17</v>
      </c>
      <c r="C230" s="334" t="s">
        <v>232</v>
      </c>
      <c r="D230" s="323">
        <f>D231+D232</f>
        <v>101903</v>
      </c>
      <c r="E230" s="323">
        <f>E231+E232</f>
        <v>101903</v>
      </c>
      <c r="F230" s="343"/>
      <c r="G230" s="323">
        <f>G231+G232</f>
        <v>80000</v>
      </c>
      <c r="H230" s="323">
        <f>H231+H232</f>
        <v>80000</v>
      </c>
      <c r="I230" s="323">
        <f>I231+I232</f>
        <v>80000</v>
      </c>
      <c r="K230" s="22"/>
    </row>
    <row r="231" spans="1:13" s="266" customFormat="1">
      <c r="A231" s="336" t="s">
        <v>18</v>
      </c>
      <c r="B231" s="337" t="s">
        <v>19</v>
      </c>
      <c r="C231" s="334" t="s">
        <v>232</v>
      </c>
      <c r="D231" s="335">
        <v>61933</v>
      </c>
      <c r="E231" s="335">
        <v>61933</v>
      </c>
      <c r="F231" s="334" t="s">
        <v>0</v>
      </c>
      <c r="G231" s="341">
        <v>40000</v>
      </c>
      <c r="H231" s="341">
        <v>40000</v>
      </c>
      <c r="I231" s="341">
        <v>40000</v>
      </c>
      <c r="J231" s="540"/>
      <c r="K231" s="540"/>
      <c r="L231" s="540"/>
      <c r="M231" s="540"/>
    </row>
    <row r="232" spans="1:13" s="266" customFormat="1">
      <c r="A232" s="336" t="s">
        <v>18</v>
      </c>
      <c r="B232" s="337" t="s">
        <v>19</v>
      </c>
      <c r="C232" s="334" t="s">
        <v>232</v>
      </c>
      <c r="D232" s="335">
        <v>39970</v>
      </c>
      <c r="E232" s="335">
        <v>39970</v>
      </c>
      <c r="F232" s="334" t="s">
        <v>315</v>
      </c>
      <c r="G232" s="341">
        <v>40000</v>
      </c>
      <c r="H232" s="341">
        <v>40000</v>
      </c>
      <c r="I232" s="341">
        <v>40000</v>
      </c>
      <c r="J232" s="540"/>
      <c r="K232" s="540"/>
      <c r="L232" s="540"/>
      <c r="M232" s="540"/>
    </row>
    <row r="233" spans="1:13" s="266" customFormat="1">
      <c r="A233" s="320" t="s">
        <v>34</v>
      </c>
      <c r="B233" s="321" t="s">
        <v>35</v>
      </c>
      <c r="C233" s="334" t="s">
        <v>232</v>
      </c>
      <c r="D233" s="323">
        <f>D234+D235+D236+D237+D238+D239</f>
        <v>246121.24</v>
      </c>
      <c r="E233" s="323">
        <f>E234+E235+E236+E237+E238+E239</f>
        <v>246120</v>
      </c>
      <c r="F233" s="343"/>
      <c r="G233" s="323">
        <f>G234+G235+G236+G237+G238+G239</f>
        <v>220000</v>
      </c>
      <c r="H233" s="323">
        <f t="shared" ref="H233:I233" si="67">H234+H235+H236+H237+H238+H239</f>
        <v>220000</v>
      </c>
      <c r="I233" s="323">
        <f t="shared" si="67"/>
        <v>220000</v>
      </c>
      <c r="J233" s="540"/>
      <c r="K233" s="540"/>
      <c r="L233" s="540"/>
      <c r="M233" s="540"/>
    </row>
    <row r="234" spans="1:13">
      <c r="A234" s="336" t="s">
        <v>40</v>
      </c>
      <c r="B234" s="337" t="s">
        <v>41</v>
      </c>
      <c r="C234" s="334" t="s">
        <v>232</v>
      </c>
      <c r="D234" s="335">
        <v>20000</v>
      </c>
      <c r="E234" s="335">
        <v>20000</v>
      </c>
      <c r="F234" s="344" t="s">
        <v>0</v>
      </c>
      <c r="G234" s="341">
        <v>20000</v>
      </c>
      <c r="H234" s="341">
        <v>20000</v>
      </c>
      <c r="I234" s="341">
        <v>20000</v>
      </c>
      <c r="J234" s="22"/>
      <c r="K234" s="22"/>
    </row>
    <row r="235" spans="1:13">
      <c r="A235" s="336" t="s">
        <v>40</v>
      </c>
      <c r="B235" s="337" t="s">
        <v>41</v>
      </c>
      <c r="C235" s="334" t="s">
        <v>232</v>
      </c>
      <c r="D235" s="335">
        <v>48652.5</v>
      </c>
      <c r="E235" s="335">
        <v>48652</v>
      </c>
      <c r="F235" s="334" t="s">
        <v>315</v>
      </c>
      <c r="G235" s="341">
        <v>50000</v>
      </c>
      <c r="H235" s="341">
        <v>50000</v>
      </c>
      <c r="I235" s="341">
        <v>50000</v>
      </c>
    </row>
    <row r="236" spans="1:13">
      <c r="A236" s="336" t="s">
        <v>44</v>
      </c>
      <c r="B236" s="337" t="s">
        <v>45</v>
      </c>
      <c r="C236" s="334" t="s">
        <v>232</v>
      </c>
      <c r="D236" s="335">
        <v>17468.740000000002</v>
      </c>
      <c r="E236" s="335">
        <v>17468</v>
      </c>
      <c r="F236" s="334" t="s">
        <v>0</v>
      </c>
      <c r="G236" s="341">
        <v>10000</v>
      </c>
      <c r="H236" s="341">
        <v>10000</v>
      </c>
      <c r="I236" s="341">
        <v>10000</v>
      </c>
    </row>
    <row r="237" spans="1:13">
      <c r="A237" s="336" t="s">
        <v>48</v>
      </c>
      <c r="B237" s="337" t="s">
        <v>49</v>
      </c>
      <c r="C237" s="334" t="s">
        <v>232</v>
      </c>
      <c r="D237" s="335">
        <v>60000</v>
      </c>
      <c r="E237" s="335">
        <v>60000</v>
      </c>
      <c r="F237" s="334" t="s">
        <v>0</v>
      </c>
      <c r="G237" s="341">
        <v>40000</v>
      </c>
      <c r="H237" s="341">
        <v>40000</v>
      </c>
      <c r="I237" s="341">
        <v>40000</v>
      </c>
    </row>
    <row r="238" spans="1:13">
      <c r="A238" s="336" t="s">
        <v>48</v>
      </c>
      <c r="B238" s="337" t="s">
        <v>49</v>
      </c>
      <c r="C238" s="334" t="s">
        <v>232</v>
      </c>
      <c r="D238" s="335">
        <v>80000</v>
      </c>
      <c r="E238" s="335">
        <v>80000</v>
      </c>
      <c r="F238" s="334" t="s">
        <v>315</v>
      </c>
      <c r="G238" s="341">
        <v>80000</v>
      </c>
      <c r="H238" s="341">
        <v>80000</v>
      </c>
      <c r="I238" s="341">
        <v>80000</v>
      </c>
    </row>
    <row r="239" spans="1:13">
      <c r="A239" s="336" t="s">
        <v>52</v>
      </c>
      <c r="B239" s="337" t="s">
        <v>53</v>
      </c>
      <c r="C239" s="334" t="s">
        <v>232</v>
      </c>
      <c r="D239" s="335">
        <v>20000</v>
      </c>
      <c r="E239" s="335">
        <v>20000</v>
      </c>
      <c r="F239" s="334" t="s">
        <v>0</v>
      </c>
      <c r="G239" s="341">
        <v>20000</v>
      </c>
      <c r="H239" s="341">
        <v>20000</v>
      </c>
      <c r="I239" s="341">
        <v>20000</v>
      </c>
    </row>
    <row r="240" spans="1:13">
      <c r="A240" s="332" t="s">
        <v>54</v>
      </c>
      <c r="B240" s="321" t="s">
        <v>55</v>
      </c>
      <c r="C240" s="334" t="s">
        <v>232</v>
      </c>
      <c r="D240" s="323">
        <f>D241+D242</f>
        <v>159429.45000000001</v>
      </c>
      <c r="E240" s="323">
        <f>E241+E242</f>
        <v>159429</v>
      </c>
      <c r="F240" s="343"/>
      <c r="G240" s="323">
        <f>G241+G242</f>
        <v>150000</v>
      </c>
      <c r="H240" s="323">
        <f t="shared" ref="H240:I240" si="68">H241+H242</f>
        <v>150000</v>
      </c>
      <c r="I240" s="323">
        <f t="shared" si="68"/>
        <v>150000</v>
      </c>
    </row>
    <row r="241" spans="1:9">
      <c r="A241" s="339" t="s">
        <v>56</v>
      </c>
      <c r="B241" s="337" t="s">
        <v>55</v>
      </c>
      <c r="C241" s="334" t="s">
        <v>232</v>
      </c>
      <c r="D241" s="335">
        <v>59429.45</v>
      </c>
      <c r="E241" s="335">
        <v>59429</v>
      </c>
      <c r="F241" s="344" t="s">
        <v>0</v>
      </c>
      <c r="G241" s="335">
        <v>50000</v>
      </c>
      <c r="H241" s="335">
        <v>50000</v>
      </c>
      <c r="I241" s="335">
        <v>50000</v>
      </c>
    </row>
    <row r="242" spans="1:9">
      <c r="A242" s="339" t="s">
        <v>56</v>
      </c>
      <c r="B242" s="337" t="s">
        <v>55</v>
      </c>
      <c r="C242" s="334" t="s">
        <v>232</v>
      </c>
      <c r="D242" s="335">
        <v>100000</v>
      </c>
      <c r="E242" s="335">
        <v>100000</v>
      </c>
      <c r="F242" s="334" t="s">
        <v>315</v>
      </c>
      <c r="G242" s="335">
        <v>100000</v>
      </c>
      <c r="H242" s="335">
        <v>100000</v>
      </c>
      <c r="I242" s="474">
        <v>100000</v>
      </c>
    </row>
    <row r="243" spans="1:9">
      <c r="A243" s="332" t="s">
        <v>57</v>
      </c>
      <c r="B243" s="321" t="s">
        <v>58</v>
      </c>
      <c r="C243" s="334" t="s">
        <v>232</v>
      </c>
      <c r="D243" s="323">
        <f>D244+D245</f>
        <v>86000</v>
      </c>
      <c r="E243" s="323">
        <f>E244+E245</f>
        <v>86000</v>
      </c>
      <c r="F243" s="322"/>
      <c r="G243" s="323">
        <f>G244+G245</f>
        <v>86000</v>
      </c>
      <c r="H243" s="323">
        <f t="shared" ref="H243:I243" si="69">H244+H245</f>
        <v>86000</v>
      </c>
      <c r="I243" s="323">
        <f t="shared" si="69"/>
        <v>86000</v>
      </c>
    </row>
    <row r="244" spans="1:9">
      <c r="A244" s="339" t="s">
        <v>63</v>
      </c>
      <c r="B244" s="337" t="s">
        <v>64</v>
      </c>
      <c r="C244" s="334" t="s">
        <v>232</v>
      </c>
      <c r="D244" s="335">
        <v>20000</v>
      </c>
      <c r="E244" s="335">
        <v>20000</v>
      </c>
      <c r="F244" s="334" t="s">
        <v>0</v>
      </c>
      <c r="G244" s="335">
        <v>20000</v>
      </c>
      <c r="H244" s="335">
        <v>20000</v>
      </c>
      <c r="I244" s="474">
        <v>20000</v>
      </c>
    </row>
    <row r="245" spans="1:9">
      <c r="A245" s="339">
        <v>3294</v>
      </c>
      <c r="B245" s="337" t="s">
        <v>360</v>
      </c>
      <c r="C245" s="334" t="s">
        <v>232</v>
      </c>
      <c r="D245" s="335">
        <v>66000</v>
      </c>
      <c r="E245" s="335">
        <v>66000</v>
      </c>
      <c r="F245" s="334" t="s">
        <v>0</v>
      </c>
      <c r="G245" s="335">
        <v>66000</v>
      </c>
      <c r="H245" s="335">
        <v>66000</v>
      </c>
      <c r="I245" s="474">
        <v>66000</v>
      </c>
    </row>
    <row r="246" spans="1:9">
      <c r="A246" s="320" t="s">
        <v>196</v>
      </c>
      <c r="B246" s="321" t="s">
        <v>340</v>
      </c>
      <c r="C246" s="334" t="s">
        <v>232</v>
      </c>
      <c r="D246" s="323">
        <f>D247+D248+D249</f>
        <v>3994890.5300000003</v>
      </c>
      <c r="E246" s="323">
        <f>E247+E248+E249</f>
        <v>3994889</v>
      </c>
      <c r="F246" s="343"/>
      <c r="G246" s="323">
        <f>G247+G248+G249</f>
        <v>7700000</v>
      </c>
      <c r="H246" s="323">
        <f>H247+H248+H249</f>
        <v>7818105</v>
      </c>
      <c r="I246" s="323">
        <f t="shared" ref="I246" si="70">I247+I248+I249</f>
        <v>8137542</v>
      </c>
    </row>
    <row r="247" spans="1:9">
      <c r="A247" s="336" t="s">
        <v>197</v>
      </c>
      <c r="B247" s="337" t="s">
        <v>198</v>
      </c>
      <c r="C247" s="334" t="s">
        <v>232</v>
      </c>
      <c r="D247" s="335">
        <v>3737967.89</v>
      </c>
      <c r="E247" s="335">
        <v>3737967</v>
      </c>
      <c r="F247" s="344" t="s">
        <v>0</v>
      </c>
      <c r="G247" s="335">
        <v>4700000</v>
      </c>
      <c r="H247" s="335">
        <v>4248105</v>
      </c>
      <c r="I247" s="335">
        <v>4337542</v>
      </c>
    </row>
    <row r="248" spans="1:9">
      <c r="A248" s="324">
        <v>3522</v>
      </c>
      <c r="B248" s="325" t="s">
        <v>198</v>
      </c>
      <c r="C248" s="334" t="s">
        <v>232</v>
      </c>
      <c r="D248" s="341">
        <v>0</v>
      </c>
      <c r="E248" s="341">
        <v>0</v>
      </c>
      <c r="F248" s="340" t="s">
        <v>82</v>
      </c>
      <c r="G248" s="341">
        <v>346500</v>
      </c>
      <c r="H248" s="341">
        <v>412335</v>
      </c>
      <c r="I248" s="474">
        <v>438900</v>
      </c>
    </row>
    <row r="249" spans="1:9">
      <c r="A249" s="324">
        <v>3531</v>
      </c>
      <c r="B249" s="325" t="s">
        <v>470</v>
      </c>
      <c r="C249" s="334" t="s">
        <v>232</v>
      </c>
      <c r="D249" s="341">
        <v>256922.64</v>
      </c>
      <c r="E249" s="341">
        <v>256922</v>
      </c>
      <c r="F249" s="340" t="s">
        <v>315</v>
      </c>
      <c r="G249" s="341">
        <v>2653500</v>
      </c>
      <c r="H249" s="341">
        <v>3157665</v>
      </c>
      <c r="I249" s="475">
        <v>3361100</v>
      </c>
    </row>
    <row r="250" spans="1:9">
      <c r="A250" s="345" t="s">
        <v>389</v>
      </c>
      <c r="B250" s="346" t="s">
        <v>355</v>
      </c>
      <c r="C250" s="318" t="s">
        <v>350</v>
      </c>
      <c r="D250" s="319">
        <f>D251+D255+D257+D266+D268+D271</f>
        <v>369760.83000000007</v>
      </c>
      <c r="E250" s="319">
        <f>E251+E255+E257+E266+E268+E271</f>
        <v>369757</v>
      </c>
      <c r="F250" s="319"/>
      <c r="G250" s="319">
        <f>G251+G255+G257+G266+G268+G271</f>
        <v>540950</v>
      </c>
      <c r="H250" s="319">
        <f t="shared" ref="H250:I250" si="71">H251+H255+H257+H266+H268+H271</f>
        <v>540950</v>
      </c>
      <c r="I250" s="319">
        <f t="shared" si="71"/>
        <v>540950</v>
      </c>
    </row>
    <row r="251" spans="1:9">
      <c r="A251" s="320" t="s">
        <v>16</v>
      </c>
      <c r="B251" s="321" t="s">
        <v>17</v>
      </c>
      <c r="C251" s="322" t="s">
        <v>350</v>
      </c>
      <c r="D251" s="323">
        <f>SUM(D252:D254)</f>
        <v>88089.260000000009</v>
      </c>
      <c r="E251" s="323">
        <f>SUM(E252:E254)</f>
        <v>88088</v>
      </c>
      <c r="F251" s="323"/>
      <c r="G251" s="323">
        <f t="shared" ref="G251:I251" si="72">SUM(G252:G254)</f>
        <v>120000</v>
      </c>
      <c r="H251" s="323">
        <f t="shared" si="72"/>
        <v>120000</v>
      </c>
      <c r="I251" s="323">
        <f t="shared" si="72"/>
        <v>120000</v>
      </c>
    </row>
    <row r="252" spans="1:9">
      <c r="A252" s="324" t="s">
        <v>18</v>
      </c>
      <c r="B252" s="325" t="s">
        <v>19</v>
      </c>
      <c r="C252" s="326" t="s">
        <v>350</v>
      </c>
      <c r="D252" s="327">
        <v>59538.91</v>
      </c>
      <c r="E252" s="327">
        <v>59538</v>
      </c>
      <c r="F252" s="326" t="s">
        <v>235</v>
      </c>
      <c r="G252" s="341">
        <v>115000</v>
      </c>
      <c r="H252" s="341">
        <v>115000</v>
      </c>
      <c r="I252" s="341">
        <v>115000</v>
      </c>
    </row>
    <row r="253" spans="1:9">
      <c r="A253" s="324" t="s">
        <v>22</v>
      </c>
      <c r="B253" s="325" t="s">
        <v>23</v>
      </c>
      <c r="C253" s="326" t="s">
        <v>350</v>
      </c>
      <c r="D253" s="327">
        <v>18550.349999999999</v>
      </c>
      <c r="E253" s="327">
        <v>18550</v>
      </c>
      <c r="F253" s="326" t="s">
        <v>235</v>
      </c>
      <c r="G253" s="341">
        <v>5000</v>
      </c>
      <c r="H253" s="341">
        <v>5000</v>
      </c>
      <c r="I253" s="341">
        <v>5000</v>
      </c>
    </row>
    <row r="254" spans="1:9">
      <c r="A254" s="324">
        <v>3214</v>
      </c>
      <c r="B254" s="325" t="s">
        <v>335</v>
      </c>
      <c r="C254" s="326" t="s">
        <v>350</v>
      </c>
      <c r="D254" s="327">
        <v>10000</v>
      </c>
      <c r="E254" s="327">
        <v>10000</v>
      </c>
      <c r="F254" s="326" t="s">
        <v>235</v>
      </c>
      <c r="G254" s="341">
        <v>0</v>
      </c>
      <c r="H254" s="341">
        <v>0</v>
      </c>
      <c r="I254" s="341">
        <v>0</v>
      </c>
    </row>
    <row r="255" spans="1:9">
      <c r="A255" s="332" t="s">
        <v>24</v>
      </c>
      <c r="B255" s="321" t="s">
        <v>25</v>
      </c>
      <c r="C255" s="333" t="s">
        <v>350</v>
      </c>
      <c r="D255" s="331">
        <f>D256</f>
        <v>4214.6000000000004</v>
      </c>
      <c r="E255" s="331">
        <f>E256</f>
        <v>4214</v>
      </c>
      <c r="F255" s="331"/>
      <c r="G255" s="331">
        <f t="shared" ref="G255:I255" si="73">G256</f>
        <v>0</v>
      </c>
      <c r="H255" s="331">
        <f t="shared" si="73"/>
        <v>0</v>
      </c>
      <c r="I255" s="331">
        <f t="shared" si="73"/>
        <v>0</v>
      </c>
    </row>
    <row r="256" spans="1:9">
      <c r="A256" s="324" t="s">
        <v>28</v>
      </c>
      <c r="B256" s="325" t="s">
        <v>29</v>
      </c>
      <c r="C256" s="340" t="s">
        <v>350</v>
      </c>
      <c r="D256" s="327">
        <v>4214.6000000000004</v>
      </c>
      <c r="E256" s="327">
        <v>4214</v>
      </c>
      <c r="F256" s="326" t="s">
        <v>235</v>
      </c>
      <c r="G256" s="341">
        <v>0</v>
      </c>
      <c r="H256" s="341">
        <v>0</v>
      </c>
      <c r="I256" s="341">
        <v>0</v>
      </c>
    </row>
    <row r="257" spans="1:12">
      <c r="A257" s="332" t="s">
        <v>34</v>
      </c>
      <c r="B257" s="321" t="s">
        <v>35</v>
      </c>
      <c r="C257" s="333" t="s">
        <v>350</v>
      </c>
      <c r="D257" s="331">
        <f>SUM(D258:D265)</f>
        <v>241739.82</v>
      </c>
      <c r="E257" s="331">
        <f>SUM(E258:E265)</f>
        <v>241738</v>
      </c>
      <c r="F257" s="331"/>
      <c r="G257" s="331">
        <f t="shared" ref="G257:I257" si="74">SUM(G258:G265)</f>
        <v>293500</v>
      </c>
      <c r="H257" s="331">
        <f t="shared" si="74"/>
        <v>293500</v>
      </c>
      <c r="I257" s="331">
        <f t="shared" si="74"/>
        <v>293500</v>
      </c>
    </row>
    <row r="258" spans="1:12">
      <c r="A258" s="324" t="s">
        <v>36</v>
      </c>
      <c r="B258" s="325" t="s">
        <v>37</v>
      </c>
      <c r="C258" s="340" t="s">
        <v>350</v>
      </c>
      <c r="D258" s="327">
        <v>26300</v>
      </c>
      <c r="E258" s="327">
        <v>26300</v>
      </c>
      <c r="F258" s="326" t="s">
        <v>235</v>
      </c>
      <c r="G258" s="341">
        <v>30000</v>
      </c>
      <c r="H258" s="341">
        <v>30000</v>
      </c>
      <c r="I258" s="341">
        <v>30000</v>
      </c>
    </row>
    <row r="259" spans="1:12">
      <c r="A259" s="324" t="s">
        <v>38</v>
      </c>
      <c r="B259" s="325" t="s">
        <v>39</v>
      </c>
      <c r="C259" s="340" t="s">
        <v>350</v>
      </c>
      <c r="D259" s="327">
        <v>15348.8</v>
      </c>
      <c r="E259" s="327">
        <v>15348</v>
      </c>
      <c r="F259" s="326" t="s">
        <v>235</v>
      </c>
      <c r="G259" s="341">
        <v>50000</v>
      </c>
      <c r="H259" s="341">
        <v>50000</v>
      </c>
      <c r="I259" s="341">
        <v>50000</v>
      </c>
    </row>
    <row r="260" spans="1:12">
      <c r="A260" s="324" t="s">
        <v>40</v>
      </c>
      <c r="B260" s="325" t="s">
        <v>41</v>
      </c>
      <c r="C260" s="340" t="s">
        <v>350</v>
      </c>
      <c r="D260" s="327">
        <v>1048.21</v>
      </c>
      <c r="E260" s="327">
        <v>1048</v>
      </c>
      <c r="F260" s="326" t="s">
        <v>235</v>
      </c>
      <c r="G260" s="341">
        <v>52500</v>
      </c>
      <c r="H260" s="341">
        <v>52500</v>
      </c>
      <c r="I260" s="341">
        <v>52500</v>
      </c>
    </row>
    <row r="261" spans="1:12">
      <c r="A261" s="324" t="s">
        <v>42</v>
      </c>
      <c r="B261" s="325" t="s">
        <v>43</v>
      </c>
      <c r="C261" s="340" t="s">
        <v>350</v>
      </c>
      <c r="D261" s="327">
        <v>2425</v>
      </c>
      <c r="E261" s="327">
        <v>2425</v>
      </c>
      <c r="F261" s="326" t="s">
        <v>235</v>
      </c>
      <c r="G261" s="341">
        <v>30000</v>
      </c>
      <c r="H261" s="341">
        <v>30000</v>
      </c>
      <c r="I261" s="341">
        <v>30000</v>
      </c>
    </row>
    <row r="262" spans="1:12">
      <c r="A262" s="324" t="s">
        <v>44</v>
      </c>
      <c r="B262" s="325" t="s">
        <v>45</v>
      </c>
      <c r="C262" s="340" t="s">
        <v>350</v>
      </c>
      <c r="D262" s="327">
        <v>66167.81</v>
      </c>
      <c r="E262" s="327">
        <v>66167</v>
      </c>
      <c r="F262" s="326" t="s">
        <v>235</v>
      </c>
      <c r="G262" s="341">
        <v>41000</v>
      </c>
      <c r="H262" s="341">
        <v>41000</v>
      </c>
      <c r="I262" s="341">
        <v>41000</v>
      </c>
    </row>
    <row r="263" spans="1:12">
      <c r="A263" s="324" t="s">
        <v>48</v>
      </c>
      <c r="B263" s="325" t="s">
        <v>49</v>
      </c>
      <c r="C263" s="340" t="s">
        <v>350</v>
      </c>
      <c r="D263" s="327">
        <v>24000</v>
      </c>
      <c r="E263" s="327">
        <v>24000</v>
      </c>
      <c r="F263" s="326" t="s">
        <v>235</v>
      </c>
      <c r="G263" s="341">
        <v>57500</v>
      </c>
      <c r="H263" s="341">
        <v>57500</v>
      </c>
      <c r="I263" s="341">
        <v>57500</v>
      </c>
    </row>
    <row r="264" spans="1:12">
      <c r="A264" s="324" t="s">
        <v>50</v>
      </c>
      <c r="B264" s="325" t="s">
        <v>51</v>
      </c>
      <c r="C264" s="340" t="s">
        <v>350</v>
      </c>
      <c r="D264" s="327">
        <v>30000</v>
      </c>
      <c r="E264" s="327">
        <v>30000</v>
      </c>
      <c r="F264" s="326" t="s">
        <v>235</v>
      </c>
      <c r="G264" s="341">
        <v>13750</v>
      </c>
      <c r="H264" s="341">
        <v>13750</v>
      </c>
      <c r="I264" s="341">
        <v>13750</v>
      </c>
    </row>
    <row r="265" spans="1:12">
      <c r="A265" s="324" t="s">
        <v>52</v>
      </c>
      <c r="B265" s="325" t="s">
        <v>53</v>
      </c>
      <c r="C265" s="340" t="s">
        <v>350</v>
      </c>
      <c r="D265" s="327">
        <v>76450</v>
      </c>
      <c r="E265" s="327">
        <v>76450</v>
      </c>
      <c r="F265" s="326" t="s">
        <v>235</v>
      </c>
      <c r="G265" s="341">
        <v>18750</v>
      </c>
      <c r="H265" s="341">
        <v>18750</v>
      </c>
      <c r="I265" s="341">
        <v>18750</v>
      </c>
      <c r="J265" s="520"/>
    </row>
    <row r="266" spans="1:12">
      <c r="A266" s="332" t="s">
        <v>54</v>
      </c>
      <c r="B266" s="321" t="s">
        <v>55</v>
      </c>
      <c r="C266" s="333" t="s">
        <v>350</v>
      </c>
      <c r="D266" s="331">
        <f>SUM(D267)</f>
        <v>0</v>
      </c>
      <c r="E266" s="331">
        <f>SUM(E267)</f>
        <v>-8403</v>
      </c>
      <c r="F266" s="331"/>
      <c r="G266" s="331">
        <f t="shared" ref="G266:I266" si="75">SUM(G267)</f>
        <v>28750</v>
      </c>
      <c r="H266" s="331">
        <f t="shared" si="75"/>
        <v>28750</v>
      </c>
      <c r="I266" s="331">
        <f t="shared" si="75"/>
        <v>28750</v>
      </c>
    </row>
    <row r="267" spans="1:12">
      <c r="A267" s="324" t="s">
        <v>56</v>
      </c>
      <c r="B267" s="325" t="s">
        <v>55</v>
      </c>
      <c r="C267" s="340" t="s">
        <v>350</v>
      </c>
      <c r="D267" s="327">
        <v>0</v>
      </c>
      <c r="E267" s="328">
        <v>-8403</v>
      </c>
      <c r="F267" s="326" t="s">
        <v>235</v>
      </c>
      <c r="G267" s="341">
        <v>28750</v>
      </c>
      <c r="H267" s="341">
        <v>28750</v>
      </c>
      <c r="I267" s="341">
        <v>28750</v>
      </c>
      <c r="J267" s="520"/>
    </row>
    <row r="268" spans="1:12">
      <c r="A268" s="332" t="s">
        <v>57</v>
      </c>
      <c r="B268" s="321" t="s">
        <v>58</v>
      </c>
      <c r="C268" s="333" t="s">
        <v>350</v>
      </c>
      <c r="D268" s="331">
        <f>SUM(D269:D270)</f>
        <v>12279.65</v>
      </c>
      <c r="E268" s="331">
        <f>SUM(E269:E270)</f>
        <v>20683</v>
      </c>
      <c r="F268" s="331"/>
      <c r="G268" s="331">
        <f t="shared" ref="G268:I268" si="76">SUM(G269:G270)</f>
        <v>76000</v>
      </c>
      <c r="H268" s="331">
        <f t="shared" si="76"/>
        <v>76000</v>
      </c>
      <c r="I268" s="331">
        <f t="shared" si="76"/>
        <v>76000</v>
      </c>
    </row>
    <row r="269" spans="1:12">
      <c r="A269" s="324" t="s">
        <v>63</v>
      </c>
      <c r="B269" s="325" t="s">
        <v>64</v>
      </c>
      <c r="C269" s="340" t="s">
        <v>350</v>
      </c>
      <c r="D269" s="327">
        <f>22150.87-8403.98-1467.24</f>
        <v>12279.65</v>
      </c>
      <c r="E269" s="328">
        <v>22150</v>
      </c>
      <c r="F269" s="326" t="s">
        <v>235</v>
      </c>
      <c r="G269" s="341">
        <v>76000</v>
      </c>
      <c r="H269" s="341">
        <v>76000</v>
      </c>
      <c r="I269" s="341">
        <v>76000</v>
      </c>
    </row>
    <row r="270" spans="1:12">
      <c r="A270" s="324" t="s">
        <v>69</v>
      </c>
      <c r="B270" s="325" t="s">
        <v>58</v>
      </c>
      <c r="C270" s="340" t="s">
        <v>350</v>
      </c>
      <c r="D270" s="327">
        <v>0</v>
      </c>
      <c r="E270" s="328">
        <v>-1467</v>
      </c>
      <c r="F270" s="326" t="s">
        <v>235</v>
      </c>
      <c r="G270" s="341">
        <v>0</v>
      </c>
      <c r="H270" s="341">
        <v>0</v>
      </c>
      <c r="I270" s="341">
        <v>0</v>
      </c>
    </row>
    <row r="271" spans="1:12">
      <c r="A271" s="332" t="s">
        <v>88</v>
      </c>
      <c r="B271" s="321" t="s">
        <v>89</v>
      </c>
      <c r="C271" s="333" t="s">
        <v>350</v>
      </c>
      <c r="D271" s="331">
        <f>SUM(D272:D273)</f>
        <v>23437.5</v>
      </c>
      <c r="E271" s="331">
        <f>SUM(E272:E273)</f>
        <v>23437</v>
      </c>
      <c r="F271" s="331"/>
      <c r="G271" s="331">
        <f t="shared" ref="G271:I271" si="77">SUM(G272:G273)</f>
        <v>22700</v>
      </c>
      <c r="H271" s="331">
        <f t="shared" si="77"/>
        <v>22700</v>
      </c>
      <c r="I271" s="331">
        <f t="shared" si="77"/>
        <v>22700</v>
      </c>
      <c r="J271" s="22"/>
      <c r="K271" s="22"/>
      <c r="L271" s="22"/>
    </row>
    <row r="272" spans="1:12">
      <c r="A272" s="324" t="s">
        <v>90</v>
      </c>
      <c r="B272" s="325" t="s">
        <v>91</v>
      </c>
      <c r="C272" s="340" t="s">
        <v>350</v>
      </c>
      <c r="D272" s="327">
        <v>18437.5</v>
      </c>
      <c r="E272" s="327">
        <v>18437</v>
      </c>
      <c r="F272" s="326" t="s">
        <v>235</v>
      </c>
      <c r="G272" s="341">
        <v>12700</v>
      </c>
      <c r="H272" s="341">
        <v>12700</v>
      </c>
      <c r="I272" s="341">
        <v>12700</v>
      </c>
      <c r="J272" s="22"/>
      <c r="K272" s="22"/>
      <c r="L272" s="22"/>
    </row>
    <row r="273" spans="1:9">
      <c r="A273" s="324" t="s">
        <v>92</v>
      </c>
      <c r="B273" s="325" t="s">
        <v>93</v>
      </c>
      <c r="C273" s="340" t="s">
        <v>350</v>
      </c>
      <c r="D273" s="327">
        <v>5000</v>
      </c>
      <c r="E273" s="327">
        <v>5000</v>
      </c>
      <c r="F273" s="326">
        <v>51</v>
      </c>
      <c r="G273" s="341">
        <v>10000</v>
      </c>
      <c r="H273" s="341">
        <v>10000</v>
      </c>
      <c r="I273" s="341">
        <v>10000</v>
      </c>
    </row>
    <row r="274" spans="1:9">
      <c r="A274" s="316" t="s">
        <v>390</v>
      </c>
      <c r="B274" s="317" t="s">
        <v>367</v>
      </c>
      <c r="C274" s="318" t="s">
        <v>232</v>
      </c>
      <c r="D274" s="319">
        <f>D275+D279+D282+D287+D290+D297+D299+D303+D277</f>
        <v>0</v>
      </c>
      <c r="E274" s="319">
        <f>E275+E279+E282+E287+E290+E297+E299+E303+E277</f>
        <v>6987059</v>
      </c>
      <c r="F274" s="319"/>
      <c r="G274" s="319">
        <f>G275+G279+G282+G287+G290+G297+G299+G303+G277</f>
        <v>7382133</v>
      </c>
      <c r="H274" s="319">
        <f>H275+H279+H282+H287+H290+H297+H299+H303+H277</f>
        <v>14184273</v>
      </c>
      <c r="I274" s="319">
        <f>I275+I279+I282+I287+I290+I297+I299+I303+I277</f>
        <v>14895054</v>
      </c>
    </row>
    <row r="275" spans="1:9">
      <c r="A275" s="320" t="s">
        <v>1</v>
      </c>
      <c r="B275" s="321" t="s">
        <v>2</v>
      </c>
      <c r="C275" s="334" t="s">
        <v>232</v>
      </c>
      <c r="D275" s="323">
        <f>SUM(D276:D276)</f>
        <v>0</v>
      </c>
      <c r="E275" s="323">
        <f>SUM(E276:E276)</f>
        <v>800368</v>
      </c>
      <c r="F275" s="323"/>
      <c r="G275" s="323">
        <f>SUM(G276:G276)</f>
        <v>1883219</v>
      </c>
      <c r="H275" s="323">
        <f>SUM(H276:H276)</f>
        <v>2448185</v>
      </c>
      <c r="I275" s="323">
        <f>SUM(I276:I276)</f>
        <v>3182640</v>
      </c>
    </row>
    <row r="276" spans="1:9">
      <c r="A276" s="324" t="s">
        <v>3</v>
      </c>
      <c r="B276" s="325" t="s">
        <v>4</v>
      </c>
      <c r="C276" s="334" t="s">
        <v>232</v>
      </c>
      <c r="D276" s="335">
        <f>800368-800368</f>
        <v>0</v>
      </c>
      <c r="E276" s="335">
        <v>800368</v>
      </c>
      <c r="F276" s="334" t="s">
        <v>234</v>
      </c>
      <c r="G276" s="335">
        <v>1883219</v>
      </c>
      <c r="H276" s="335">
        <v>2448185</v>
      </c>
      <c r="I276" s="335">
        <v>3182640</v>
      </c>
    </row>
    <row r="277" spans="1:9">
      <c r="A277" s="320" t="s">
        <v>7</v>
      </c>
      <c r="B277" s="321" t="s">
        <v>8</v>
      </c>
      <c r="C277" s="334" t="s">
        <v>232</v>
      </c>
      <c r="D277" s="323">
        <f>SUM(D278:D278)</f>
        <v>0</v>
      </c>
      <c r="E277" s="323">
        <f>SUM(E278:E278)</f>
        <v>0</v>
      </c>
      <c r="F277" s="323"/>
      <c r="G277" s="323">
        <f>SUM(G278:G278)</f>
        <v>350000</v>
      </c>
      <c r="H277" s="323">
        <f>SUM(H278:H278)</f>
        <v>350000</v>
      </c>
      <c r="I277" s="323">
        <f>SUM(I278:I278)</f>
        <v>350000</v>
      </c>
    </row>
    <row r="278" spans="1:9">
      <c r="A278" s="324" t="s">
        <v>9</v>
      </c>
      <c r="B278" s="325" t="s">
        <v>8</v>
      </c>
      <c r="C278" s="334" t="s">
        <v>232</v>
      </c>
      <c r="D278" s="335">
        <v>0</v>
      </c>
      <c r="E278" s="335">
        <v>0</v>
      </c>
      <c r="F278" s="334" t="s">
        <v>234</v>
      </c>
      <c r="G278" s="335">
        <v>350000</v>
      </c>
      <c r="H278" s="335">
        <v>350000</v>
      </c>
      <c r="I278" s="335">
        <v>350000</v>
      </c>
    </row>
    <row r="279" spans="1:9">
      <c r="A279" s="320" t="s">
        <v>10</v>
      </c>
      <c r="B279" s="321" t="s">
        <v>11</v>
      </c>
      <c r="C279" s="334" t="s">
        <v>232</v>
      </c>
      <c r="D279" s="323">
        <f>SUM(D280:D281)</f>
        <v>0</v>
      </c>
      <c r="E279" s="323">
        <f>SUM(E280:E281)</f>
        <v>137663</v>
      </c>
      <c r="F279" s="323"/>
      <c r="G279" s="323">
        <f>SUM(G280:G281)</f>
        <v>323914</v>
      </c>
      <c r="H279" s="323">
        <f>SUM(H280:H281)</f>
        <v>421088</v>
      </c>
      <c r="I279" s="323">
        <f>SUM(I280:I281)</f>
        <v>547414</v>
      </c>
    </row>
    <row r="280" spans="1:9">
      <c r="A280" s="324" t="s">
        <v>12</v>
      </c>
      <c r="B280" s="325" t="s">
        <v>13</v>
      </c>
      <c r="C280" s="334" t="s">
        <v>232</v>
      </c>
      <c r="D280" s="335">
        <f>124057-124057</f>
        <v>0</v>
      </c>
      <c r="E280" s="335">
        <v>124057</v>
      </c>
      <c r="F280" s="334" t="s">
        <v>234</v>
      </c>
      <c r="G280" s="335">
        <v>291899</v>
      </c>
      <c r="H280" s="335">
        <v>379469</v>
      </c>
      <c r="I280" s="335">
        <v>493309</v>
      </c>
    </row>
    <row r="281" spans="1:9">
      <c r="A281" s="324" t="s">
        <v>14</v>
      </c>
      <c r="B281" s="325" t="s">
        <v>15</v>
      </c>
      <c r="C281" s="334" t="s">
        <v>232</v>
      </c>
      <c r="D281" s="335">
        <f>13606-13606</f>
        <v>0</v>
      </c>
      <c r="E281" s="335">
        <v>13606</v>
      </c>
      <c r="F281" s="334" t="s">
        <v>234</v>
      </c>
      <c r="G281" s="335">
        <v>32015</v>
      </c>
      <c r="H281" s="335">
        <v>41619</v>
      </c>
      <c r="I281" s="335">
        <v>54105</v>
      </c>
    </row>
    <row r="282" spans="1:9">
      <c r="A282" s="320" t="s">
        <v>16</v>
      </c>
      <c r="B282" s="321" t="s">
        <v>17</v>
      </c>
      <c r="C282" s="334" t="s">
        <v>232</v>
      </c>
      <c r="D282" s="323">
        <f>SUM(D283:D286)</f>
        <v>0</v>
      </c>
      <c r="E282" s="323">
        <f>SUM(E283:E286)</f>
        <v>186278</v>
      </c>
      <c r="F282" s="323"/>
      <c r="G282" s="323">
        <f>SUM(G283:G286)</f>
        <v>215000</v>
      </c>
      <c r="H282" s="323">
        <f>SUM(H283:H286)</f>
        <v>485000</v>
      </c>
      <c r="I282" s="323">
        <f>SUM(I283:I286)</f>
        <v>485000</v>
      </c>
    </row>
    <row r="283" spans="1:9">
      <c r="A283" s="324" t="s">
        <v>18</v>
      </c>
      <c r="B283" s="325" t="s">
        <v>19</v>
      </c>
      <c r="C283" s="334" t="s">
        <v>232</v>
      </c>
      <c r="D283" s="335">
        <f>102000-102000</f>
        <v>0</v>
      </c>
      <c r="E283" s="335">
        <v>102000</v>
      </c>
      <c r="F283" s="334" t="s">
        <v>234</v>
      </c>
      <c r="G283" s="335">
        <v>120000</v>
      </c>
      <c r="H283" s="335">
        <v>220000</v>
      </c>
      <c r="I283" s="335">
        <v>220000</v>
      </c>
    </row>
    <row r="284" spans="1:9">
      <c r="A284" s="324" t="s">
        <v>20</v>
      </c>
      <c r="B284" s="325" t="s">
        <v>21</v>
      </c>
      <c r="C284" s="334" t="s">
        <v>232</v>
      </c>
      <c r="D284" s="335">
        <f>10328-10328</f>
        <v>0</v>
      </c>
      <c r="E284" s="335">
        <v>10328</v>
      </c>
      <c r="F284" s="334" t="s">
        <v>234</v>
      </c>
      <c r="G284" s="335">
        <v>45000</v>
      </c>
      <c r="H284" s="335">
        <v>45000</v>
      </c>
      <c r="I284" s="335">
        <v>45000</v>
      </c>
    </row>
    <row r="285" spans="1:9">
      <c r="A285" s="324" t="s">
        <v>22</v>
      </c>
      <c r="B285" s="325" t="s">
        <v>23</v>
      </c>
      <c r="C285" s="334" t="s">
        <v>232</v>
      </c>
      <c r="D285" s="335">
        <f>63750-63750</f>
        <v>0</v>
      </c>
      <c r="E285" s="335">
        <v>63750</v>
      </c>
      <c r="F285" s="334" t="s">
        <v>234</v>
      </c>
      <c r="G285" s="335">
        <v>50000</v>
      </c>
      <c r="H285" s="335">
        <v>200000</v>
      </c>
      <c r="I285" s="335">
        <v>200000</v>
      </c>
    </row>
    <row r="286" spans="1:9">
      <c r="A286" s="336" t="s">
        <v>161</v>
      </c>
      <c r="B286" s="337" t="s">
        <v>335</v>
      </c>
      <c r="C286" s="334" t="s">
        <v>232</v>
      </c>
      <c r="D286" s="335">
        <f>10200-10200</f>
        <v>0</v>
      </c>
      <c r="E286" s="335">
        <v>10200</v>
      </c>
      <c r="F286" s="334" t="s">
        <v>234</v>
      </c>
      <c r="G286" s="335">
        <v>0</v>
      </c>
      <c r="H286" s="335">
        <v>20000</v>
      </c>
      <c r="I286" s="335">
        <v>20000</v>
      </c>
    </row>
    <row r="287" spans="1:9">
      <c r="A287" s="320" t="s">
        <v>24</v>
      </c>
      <c r="B287" s="321" t="s">
        <v>25</v>
      </c>
      <c r="C287" s="334" t="s">
        <v>232</v>
      </c>
      <c r="D287" s="323">
        <f>SUM(D288:D289)</f>
        <v>0</v>
      </c>
      <c r="E287" s="323">
        <f>SUM(E288:E289)</f>
        <v>68000</v>
      </c>
      <c r="F287" s="323"/>
      <c r="G287" s="323">
        <f>SUM(G288:G289)</f>
        <v>130000</v>
      </c>
      <c r="H287" s="323">
        <f>SUM(H288:H289)</f>
        <v>260000</v>
      </c>
      <c r="I287" s="323">
        <f>SUM(I288:I289)</f>
        <v>260000</v>
      </c>
    </row>
    <row r="288" spans="1:9">
      <c r="A288" s="324" t="s">
        <v>26</v>
      </c>
      <c r="B288" s="325" t="s">
        <v>27</v>
      </c>
      <c r="C288" s="334" t="s">
        <v>232</v>
      </c>
      <c r="D288" s="335">
        <f>31875-31875</f>
        <v>0</v>
      </c>
      <c r="E288" s="335">
        <v>31875</v>
      </c>
      <c r="F288" s="334" t="s">
        <v>234</v>
      </c>
      <c r="G288" s="335">
        <v>70000</v>
      </c>
      <c r="H288" s="335">
        <v>100000</v>
      </c>
      <c r="I288" s="335">
        <v>100000</v>
      </c>
    </row>
    <row r="289" spans="1:12">
      <c r="A289" s="324" t="s">
        <v>28</v>
      </c>
      <c r="B289" s="330" t="s">
        <v>29</v>
      </c>
      <c r="C289" s="334" t="s">
        <v>232</v>
      </c>
      <c r="D289" s="335">
        <f>36125-36125</f>
        <v>0</v>
      </c>
      <c r="E289" s="335">
        <v>36125</v>
      </c>
      <c r="F289" s="334" t="s">
        <v>234</v>
      </c>
      <c r="G289" s="335">
        <v>60000</v>
      </c>
      <c r="H289" s="335">
        <v>160000</v>
      </c>
      <c r="I289" s="335">
        <v>160000</v>
      </c>
    </row>
    <row r="290" spans="1:12">
      <c r="A290" s="320" t="s">
        <v>34</v>
      </c>
      <c r="B290" s="321" t="s">
        <v>35</v>
      </c>
      <c r="C290" s="334" t="s">
        <v>232</v>
      </c>
      <c r="D290" s="323">
        <f>SUM(D291:D296)</f>
        <v>0</v>
      </c>
      <c r="E290" s="323">
        <f>SUM(E291:E296)</f>
        <v>5085000</v>
      </c>
      <c r="F290" s="323"/>
      <c r="G290" s="323">
        <f>SUM(G291:G296)</f>
        <v>4200000</v>
      </c>
      <c r="H290" s="323">
        <f>SUM(H291:H296)</f>
        <v>9300000</v>
      </c>
      <c r="I290" s="323">
        <f>SUM(I291:I296)</f>
        <v>9300000</v>
      </c>
    </row>
    <row r="291" spans="1:12">
      <c r="A291" s="324" t="s">
        <v>36</v>
      </c>
      <c r="B291" s="325" t="s">
        <v>37</v>
      </c>
      <c r="C291" s="334" t="s">
        <v>232</v>
      </c>
      <c r="D291" s="335">
        <f>23375-23375</f>
        <v>0</v>
      </c>
      <c r="E291" s="335">
        <v>23375</v>
      </c>
      <c r="F291" s="334" t="s">
        <v>234</v>
      </c>
      <c r="G291" s="335">
        <v>50000</v>
      </c>
      <c r="H291" s="335">
        <v>50000</v>
      </c>
      <c r="I291" s="335">
        <v>50000</v>
      </c>
    </row>
    <row r="292" spans="1:12">
      <c r="A292" s="324" t="s">
        <v>40</v>
      </c>
      <c r="B292" s="325" t="s">
        <v>41</v>
      </c>
      <c r="C292" s="334" t="s">
        <v>232</v>
      </c>
      <c r="D292" s="335">
        <f>680000-680000</f>
        <v>0</v>
      </c>
      <c r="E292" s="335">
        <v>680000</v>
      </c>
      <c r="F292" s="334" t="s">
        <v>234</v>
      </c>
      <c r="G292" s="335">
        <v>500000</v>
      </c>
      <c r="H292" s="335">
        <v>2000000</v>
      </c>
      <c r="I292" s="335">
        <v>2000000</v>
      </c>
    </row>
    <row r="293" spans="1:12">
      <c r="A293" s="324" t="s">
        <v>42</v>
      </c>
      <c r="B293" s="325" t="s">
        <v>43</v>
      </c>
      <c r="C293" s="334" t="s">
        <v>232</v>
      </c>
      <c r="D293" s="335">
        <f>10625-10625</f>
        <v>0</v>
      </c>
      <c r="E293" s="335">
        <v>10625</v>
      </c>
      <c r="F293" s="334" t="s">
        <v>234</v>
      </c>
      <c r="G293" s="335">
        <v>50000</v>
      </c>
      <c r="H293" s="335">
        <v>50000</v>
      </c>
      <c r="I293" s="335">
        <v>50000</v>
      </c>
    </row>
    <row r="294" spans="1:12">
      <c r="A294" s="324" t="s">
        <v>48</v>
      </c>
      <c r="B294" s="325" t="s">
        <v>49</v>
      </c>
      <c r="C294" s="334" t="s">
        <v>232</v>
      </c>
      <c r="D294" s="335">
        <f>3400000-3400000</f>
        <v>0</v>
      </c>
      <c r="E294" s="335">
        <v>3400000</v>
      </c>
      <c r="F294" s="334" t="s">
        <v>234</v>
      </c>
      <c r="G294" s="335">
        <v>3000000</v>
      </c>
      <c r="H294" s="335">
        <v>5000000</v>
      </c>
      <c r="I294" s="335">
        <v>5000000</v>
      </c>
    </row>
    <row r="295" spans="1:12">
      <c r="A295" s="324" t="s">
        <v>50</v>
      </c>
      <c r="B295" s="325" t="s">
        <v>51</v>
      </c>
      <c r="C295" s="334" t="s">
        <v>232</v>
      </c>
      <c r="D295" s="335">
        <f>544000-544000</f>
        <v>0</v>
      </c>
      <c r="E295" s="335">
        <v>544000</v>
      </c>
      <c r="F295" s="334" t="s">
        <v>234</v>
      </c>
      <c r="G295" s="335">
        <v>500000</v>
      </c>
      <c r="H295" s="335">
        <v>200000</v>
      </c>
      <c r="I295" s="335">
        <v>200000</v>
      </c>
      <c r="J295" s="466"/>
      <c r="K295" s="466"/>
    </row>
    <row r="296" spans="1:12">
      <c r="A296" s="324" t="s">
        <v>52</v>
      </c>
      <c r="B296" s="325" t="s">
        <v>53</v>
      </c>
      <c r="C296" s="334" t="s">
        <v>232</v>
      </c>
      <c r="D296" s="335">
        <f>427000-427000</f>
        <v>0</v>
      </c>
      <c r="E296" s="335">
        <v>427000</v>
      </c>
      <c r="F296" s="334" t="s">
        <v>234</v>
      </c>
      <c r="G296" s="335">
        <v>100000</v>
      </c>
      <c r="H296" s="335">
        <v>2000000</v>
      </c>
      <c r="I296" s="335">
        <v>2000000</v>
      </c>
      <c r="J296" s="264"/>
      <c r="K296" s="264"/>
    </row>
    <row r="297" spans="1:12">
      <c r="A297" s="332" t="s">
        <v>54</v>
      </c>
      <c r="B297" s="321" t="s">
        <v>55</v>
      </c>
      <c r="C297" s="334" t="s">
        <v>232</v>
      </c>
      <c r="D297" s="323">
        <f>SUM(D298:D298)</f>
        <v>0</v>
      </c>
      <c r="E297" s="323">
        <f>SUM(E298:E298)</f>
        <v>425000</v>
      </c>
      <c r="F297" s="323"/>
      <c r="G297" s="323">
        <f>SUM(G298:G298)</f>
        <v>100000</v>
      </c>
      <c r="H297" s="323">
        <f>SUM(H298:H298)</f>
        <v>200000</v>
      </c>
      <c r="I297" s="323">
        <f>SUM(I298:I298)</f>
        <v>200000</v>
      </c>
      <c r="J297" s="22"/>
    </row>
    <row r="298" spans="1:12">
      <c r="A298" s="339">
        <v>3241</v>
      </c>
      <c r="B298" s="337" t="s">
        <v>55</v>
      </c>
      <c r="C298" s="334" t="s">
        <v>232</v>
      </c>
      <c r="D298" s="335">
        <f>425000-425000</f>
        <v>0</v>
      </c>
      <c r="E298" s="335">
        <v>425000</v>
      </c>
      <c r="F298" s="334" t="s">
        <v>234</v>
      </c>
      <c r="G298" s="335">
        <v>100000</v>
      </c>
      <c r="H298" s="335">
        <v>200000</v>
      </c>
      <c r="I298" s="335">
        <v>200000</v>
      </c>
      <c r="J298" s="466"/>
      <c r="K298" s="466"/>
    </row>
    <row r="299" spans="1:12">
      <c r="A299" s="339" t="s">
        <v>57</v>
      </c>
      <c r="B299" s="337" t="s">
        <v>58</v>
      </c>
      <c r="C299" s="334" t="s">
        <v>232</v>
      </c>
      <c r="D299" s="323">
        <f>SUM(D300:D302)</f>
        <v>0</v>
      </c>
      <c r="E299" s="323">
        <f>SUM(E300:E302)</f>
        <v>114750</v>
      </c>
      <c r="F299" s="323"/>
      <c r="G299" s="323">
        <f>SUM(G300:G302)</f>
        <v>80000</v>
      </c>
      <c r="H299" s="323">
        <f>SUM(H300:H302)</f>
        <v>520000</v>
      </c>
      <c r="I299" s="323">
        <f>SUM(I300:I302)</f>
        <v>520000</v>
      </c>
      <c r="J299" s="264"/>
      <c r="K299" s="264"/>
    </row>
    <row r="300" spans="1:12">
      <c r="A300" s="339" t="s">
        <v>63</v>
      </c>
      <c r="B300" s="337" t="s">
        <v>64</v>
      </c>
      <c r="C300" s="334" t="s">
        <v>232</v>
      </c>
      <c r="D300" s="335">
        <f>85000-85000</f>
        <v>0</v>
      </c>
      <c r="E300" s="335">
        <v>85000</v>
      </c>
      <c r="F300" s="334" t="s">
        <v>234</v>
      </c>
      <c r="G300" s="335">
        <v>60000</v>
      </c>
      <c r="H300" s="335">
        <v>400000</v>
      </c>
      <c r="I300" s="335">
        <v>400000</v>
      </c>
      <c r="J300" s="466"/>
      <c r="K300" s="466"/>
    </row>
    <row r="301" spans="1:12">
      <c r="A301" s="324">
        <v>3295</v>
      </c>
      <c r="B301" s="325" t="s">
        <v>68</v>
      </c>
      <c r="C301" s="334" t="s">
        <v>232</v>
      </c>
      <c r="D301" s="335">
        <f>12750-12750</f>
        <v>0</v>
      </c>
      <c r="E301" s="335">
        <v>12750</v>
      </c>
      <c r="F301" s="334" t="s">
        <v>234</v>
      </c>
      <c r="G301" s="335">
        <v>0</v>
      </c>
      <c r="H301" s="335">
        <v>100000</v>
      </c>
      <c r="I301" s="335">
        <v>100000</v>
      </c>
      <c r="J301" s="264"/>
      <c r="K301" s="264"/>
    </row>
    <row r="302" spans="1:12">
      <c r="A302" s="324">
        <v>3299</v>
      </c>
      <c r="B302" s="325" t="s">
        <v>58</v>
      </c>
      <c r="C302" s="334" t="s">
        <v>232</v>
      </c>
      <c r="D302" s="335">
        <f>17000-17000</f>
        <v>0</v>
      </c>
      <c r="E302" s="335">
        <v>17000</v>
      </c>
      <c r="F302" s="334" t="s">
        <v>234</v>
      </c>
      <c r="G302" s="335">
        <v>20000</v>
      </c>
      <c r="H302" s="335">
        <v>20000</v>
      </c>
      <c r="I302" s="335">
        <v>20000</v>
      </c>
    </row>
    <row r="303" spans="1:12">
      <c r="A303" s="320" t="s">
        <v>88</v>
      </c>
      <c r="B303" s="321" t="s">
        <v>89</v>
      </c>
      <c r="C303" s="334" t="s">
        <v>232</v>
      </c>
      <c r="D303" s="323">
        <f>SUM(D304:D304)</f>
        <v>0</v>
      </c>
      <c r="E303" s="323">
        <f>SUM(E304:E304)</f>
        <v>170000</v>
      </c>
      <c r="F303" s="323"/>
      <c r="G303" s="323">
        <f>SUM(G304:G304)</f>
        <v>100000</v>
      </c>
      <c r="H303" s="323">
        <f>SUM(H304:H304)</f>
        <v>200000</v>
      </c>
      <c r="I303" s="323">
        <f>SUM(I304:I304)</f>
        <v>50000</v>
      </c>
      <c r="J303" s="265"/>
      <c r="K303" s="265"/>
    </row>
    <row r="304" spans="1:12">
      <c r="A304" s="324" t="s">
        <v>90</v>
      </c>
      <c r="B304" s="325" t="s">
        <v>91</v>
      </c>
      <c r="C304" s="334" t="s">
        <v>232</v>
      </c>
      <c r="D304" s="335">
        <f>170000-170000</f>
        <v>0</v>
      </c>
      <c r="E304" s="335">
        <v>170000</v>
      </c>
      <c r="F304" s="334" t="s">
        <v>234</v>
      </c>
      <c r="G304" s="335">
        <v>100000</v>
      </c>
      <c r="H304" s="335">
        <v>200000</v>
      </c>
      <c r="I304" s="335">
        <v>50000</v>
      </c>
      <c r="J304" s="22"/>
      <c r="K304" s="22"/>
      <c r="L304" s="22"/>
    </row>
    <row r="305" spans="1:13">
      <c r="A305" s="347" t="s">
        <v>391</v>
      </c>
      <c r="B305" s="347" t="s">
        <v>356</v>
      </c>
      <c r="C305" s="318" t="s">
        <v>232</v>
      </c>
      <c r="D305" s="319">
        <f>D306+D309+D314+D317+D320+D327+D333+D330</f>
        <v>1243640.3199999998</v>
      </c>
      <c r="E305" s="319">
        <f>E306+E309+E314+E317+E320+E327+E333+E330</f>
        <v>1282564</v>
      </c>
      <c r="F305" s="319"/>
      <c r="G305" s="319">
        <f>G306+G309+G314+G317+G320+G327+G333+G330</f>
        <v>1908040</v>
      </c>
      <c r="H305" s="319">
        <f>H306+H309+H314+H317+H320+H327+H333+H330</f>
        <v>2067903</v>
      </c>
      <c r="I305" s="319">
        <f>I306+I309+I314+I317+I320+I327+I333+I330</f>
        <v>1848614</v>
      </c>
      <c r="J305" s="265"/>
      <c r="K305" s="265"/>
      <c r="L305" s="265"/>
    </row>
    <row r="306" spans="1:13">
      <c r="A306" s="320" t="s">
        <v>1</v>
      </c>
      <c r="B306" s="321" t="s">
        <v>2</v>
      </c>
      <c r="C306" s="340" t="s">
        <v>232</v>
      </c>
      <c r="D306" s="348">
        <f>SUM(D307:D308)</f>
        <v>648576</v>
      </c>
      <c r="E306" s="348">
        <f>SUM(E307:E308)</f>
        <v>648576</v>
      </c>
      <c r="F306" s="348"/>
      <c r="G306" s="331">
        <f t="shared" ref="G306:I306" si="78">SUM(G307:G308)</f>
        <v>676724</v>
      </c>
      <c r="H306" s="331">
        <f t="shared" si="78"/>
        <v>678053</v>
      </c>
      <c r="I306" s="331">
        <f t="shared" si="78"/>
        <v>504796</v>
      </c>
      <c r="K306" s="265"/>
    </row>
    <row r="307" spans="1:13">
      <c r="A307" s="324" t="s">
        <v>3</v>
      </c>
      <c r="B307" s="325" t="s">
        <v>4</v>
      </c>
      <c r="C307" s="340" t="s">
        <v>232</v>
      </c>
      <c r="D307" s="341">
        <v>0</v>
      </c>
      <c r="E307" s="341">
        <v>0</v>
      </c>
      <c r="F307" s="326">
        <v>559</v>
      </c>
      <c r="G307" s="341">
        <v>629057</v>
      </c>
      <c r="H307" s="341">
        <v>630006</v>
      </c>
      <c r="I307" s="341">
        <v>480405</v>
      </c>
      <c r="J307" s="22"/>
      <c r="K307" s="22"/>
      <c r="L307" s="22"/>
      <c r="M307" s="22"/>
    </row>
    <row r="308" spans="1:13">
      <c r="A308" s="324" t="s">
        <v>3</v>
      </c>
      <c r="B308" s="325" t="s">
        <v>4</v>
      </c>
      <c r="C308" s="340" t="s">
        <v>232</v>
      </c>
      <c r="D308" s="341">
        <v>648576</v>
      </c>
      <c r="E308" s="341">
        <v>648576</v>
      </c>
      <c r="F308" s="340">
        <v>51</v>
      </c>
      <c r="G308" s="341">
        <v>47667</v>
      </c>
      <c r="H308" s="341">
        <v>48047</v>
      </c>
      <c r="I308" s="341">
        <v>24391</v>
      </c>
      <c r="J308" s="22"/>
      <c r="K308" s="22"/>
      <c r="L308" s="22"/>
      <c r="M308" s="22"/>
    </row>
    <row r="309" spans="1:13">
      <c r="A309" s="320" t="s">
        <v>10</v>
      </c>
      <c r="B309" s="321" t="s">
        <v>11</v>
      </c>
      <c r="C309" s="340" t="s">
        <v>232</v>
      </c>
      <c r="D309" s="348">
        <f>SUM(D310:D313)</f>
        <v>111424</v>
      </c>
      <c r="E309" s="348">
        <f>SUM(E310:E313)</f>
        <v>111424</v>
      </c>
      <c r="F309" s="333"/>
      <c r="G309" s="331">
        <f t="shared" ref="G309:I309" si="79">SUM(G310:G313)</f>
        <v>140575</v>
      </c>
      <c r="H309" s="331">
        <f t="shared" si="79"/>
        <v>140850</v>
      </c>
      <c r="I309" s="331">
        <f t="shared" si="79"/>
        <v>104859</v>
      </c>
      <c r="J309" s="22"/>
      <c r="K309" s="265"/>
    </row>
    <row r="310" spans="1:13">
      <c r="A310" s="324" t="s">
        <v>12</v>
      </c>
      <c r="B310" s="325" t="s">
        <v>13</v>
      </c>
      <c r="C310" s="340" t="s">
        <v>232</v>
      </c>
      <c r="D310" s="341">
        <v>0</v>
      </c>
      <c r="E310" s="341">
        <v>0</v>
      </c>
      <c r="F310" s="326" t="s">
        <v>315</v>
      </c>
      <c r="G310" s="341">
        <v>117758</v>
      </c>
      <c r="H310" s="341">
        <v>117935</v>
      </c>
      <c r="I310" s="341">
        <v>89930</v>
      </c>
      <c r="K310" s="265"/>
    </row>
    <row r="311" spans="1:13">
      <c r="A311" s="324" t="s">
        <v>12</v>
      </c>
      <c r="B311" s="325" t="s">
        <v>13</v>
      </c>
      <c r="C311" s="340" t="s">
        <v>232</v>
      </c>
      <c r="D311" s="341">
        <f>101200</f>
        <v>101200</v>
      </c>
      <c r="E311" s="341">
        <v>101200</v>
      </c>
      <c r="F311" s="340">
        <v>51</v>
      </c>
      <c r="G311" s="341">
        <v>8923</v>
      </c>
      <c r="H311" s="341">
        <v>8994</v>
      </c>
      <c r="I311" s="341">
        <v>4565</v>
      </c>
      <c r="K311" s="265"/>
    </row>
    <row r="312" spans="1:13">
      <c r="A312" s="324" t="s">
        <v>14</v>
      </c>
      <c r="B312" s="325" t="s">
        <v>15</v>
      </c>
      <c r="C312" s="340" t="s">
        <v>232</v>
      </c>
      <c r="D312" s="341">
        <v>0</v>
      </c>
      <c r="E312" s="341">
        <v>0</v>
      </c>
      <c r="F312" s="326" t="s">
        <v>315</v>
      </c>
      <c r="G312" s="341">
        <v>12915</v>
      </c>
      <c r="H312" s="341">
        <v>12935</v>
      </c>
      <c r="I312" s="341">
        <v>9863</v>
      </c>
      <c r="K312" s="265"/>
    </row>
    <row r="313" spans="1:13">
      <c r="A313" s="324" t="s">
        <v>14</v>
      </c>
      <c r="B313" s="325" t="s">
        <v>15</v>
      </c>
      <c r="C313" s="340" t="s">
        <v>232</v>
      </c>
      <c r="D313" s="341">
        <v>10224</v>
      </c>
      <c r="E313" s="341">
        <v>10224</v>
      </c>
      <c r="F313" s="340">
        <v>51</v>
      </c>
      <c r="G313" s="341">
        <v>979</v>
      </c>
      <c r="H313" s="341">
        <v>986</v>
      </c>
      <c r="I313" s="341">
        <v>501</v>
      </c>
    </row>
    <row r="314" spans="1:13">
      <c r="A314" s="320" t="s">
        <v>16</v>
      </c>
      <c r="B314" s="321" t="s">
        <v>17</v>
      </c>
      <c r="C314" s="340" t="s">
        <v>232</v>
      </c>
      <c r="D314" s="331">
        <f>SUM(D315:D316)</f>
        <v>40332.6</v>
      </c>
      <c r="E314" s="331">
        <f>SUM(E315:E316)</f>
        <v>40332</v>
      </c>
      <c r="F314" s="333"/>
      <c r="G314" s="331">
        <f t="shared" ref="G314:I314" si="80">SUM(G315:G316)</f>
        <v>54001</v>
      </c>
      <c r="H314" s="331">
        <f t="shared" si="80"/>
        <v>53250</v>
      </c>
      <c r="I314" s="331">
        <f t="shared" si="80"/>
        <v>44250</v>
      </c>
    </row>
    <row r="315" spans="1:13">
      <c r="A315" s="324" t="s">
        <v>18</v>
      </c>
      <c r="B315" s="325" t="s">
        <v>19</v>
      </c>
      <c r="C315" s="340" t="s">
        <v>232</v>
      </c>
      <c r="D315" s="341">
        <v>0</v>
      </c>
      <c r="E315" s="341">
        <v>0</v>
      </c>
      <c r="F315" s="326" t="s">
        <v>315</v>
      </c>
      <c r="G315" s="341">
        <v>48938</v>
      </c>
      <c r="H315" s="341">
        <v>48300</v>
      </c>
      <c r="I315" s="341">
        <v>40650</v>
      </c>
    </row>
    <row r="316" spans="1:13">
      <c r="A316" s="324" t="s">
        <v>18</v>
      </c>
      <c r="B316" s="325" t="s">
        <v>19</v>
      </c>
      <c r="C316" s="340" t="s">
        <v>232</v>
      </c>
      <c r="D316" s="341">
        <v>40332.6</v>
      </c>
      <c r="E316" s="341">
        <v>40332</v>
      </c>
      <c r="F316" s="340">
        <v>51</v>
      </c>
      <c r="G316" s="341">
        <v>5063</v>
      </c>
      <c r="H316" s="341">
        <v>4950</v>
      </c>
      <c r="I316" s="341">
        <v>3600</v>
      </c>
    </row>
    <row r="317" spans="1:13">
      <c r="A317" s="332" t="s">
        <v>24</v>
      </c>
      <c r="B317" s="321" t="s">
        <v>25</v>
      </c>
      <c r="C317" s="340" t="s">
        <v>232</v>
      </c>
      <c r="D317" s="348">
        <f>SUM(D318:D319)</f>
        <v>0</v>
      </c>
      <c r="E317" s="348">
        <f>SUM(E318:E319)</f>
        <v>0</v>
      </c>
      <c r="F317" s="349"/>
      <c r="G317" s="331">
        <f t="shared" ref="G317:I317" si="81">SUM(G318:G319)</f>
        <v>122050</v>
      </c>
      <c r="H317" s="331">
        <f t="shared" si="81"/>
        <v>120379</v>
      </c>
      <c r="I317" s="331">
        <f t="shared" si="81"/>
        <v>180712</v>
      </c>
    </row>
    <row r="318" spans="1:13">
      <c r="A318" s="324" t="s">
        <v>28</v>
      </c>
      <c r="B318" s="325" t="s">
        <v>29</v>
      </c>
      <c r="C318" s="340" t="s">
        <v>232</v>
      </c>
      <c r="D318" s="341">
        <v>0</v>
      </c>
      <c r="E318" s="341">
        <v>0</v>
      </c>
      <c r="F318" s="326" t="s">
        <v>235</v>
      </c>
      <c r="G318" s="341">
        <v>8607</v>
      </c>
      <c r="H318" s="341">
        <v>8389</v>
      </c>
      <c r="I318" s="341">
        <v>4446</v>
      </c>
    </row>
    <row r="319" spans="1:13">
      <c r="A319" s="324" t="s">
        <v>28</v>
      </c>
      <c r="B319" s="325" t="s">
        <v>29</v>
      </c>
      <c r="C319" s="340" t="s">
        <v>232</v>
      </c>
      <c r="D319" s="341">
        <v>0</v>
      </c>
      <c r="E319" s="341">
        <v>0</v>
      </c>
      <c r="F319" s="326" t="s">
        <v>315</v>
      </c>
      <c r="G319" s="341">
        <v>113443</v>
      </c>
      <c r="H319" s="341">
        <v>111990</v>
      </c>
      <c r="I319" s="341">
        <v>176266</v>
      </c>
    </row>
    <row r="320" spans="1:13">
      <c r="A320" s="320" t="s">
        <v>34</v>
      </c>
      <c r="B320" s="321" t="s">
        <v>35</v>
      </c>
      <c r="C320" s="340" t="s">
        <v>232</v>
      </c>
      <c r="D320" s="348">
        <f>SUM(D321:D326)</f>
        <v>443307.72</v>
      </c>
      <c r="E320" s="348">
        <f>SUM(E321:E326)</f>
        <v>521156</v>
      </c>
      <c r="F320" s="349"/>
      <c r="G320" s="331">
        <f>G321+G322+G323+G324+G325+G326</f>
        <v>857566</v>
      </c>
      <c r="H320" s="331">
        <f t="shared" ref="H320:I320" si="82">H321+H322+H323+H324+H325+H326</f>
        <v>1002997</v>
      </c>
      <c r="I320" s="331">
        <f t="shared" si="82"/>
        <v>956873</v>
      </c>
    </row>
    <row r="321" spans="1:9">
      <c r="A321" s="324" t="s">
        <v>40</v>
      </c>
      <c r="B321" s="325" t="s">
        <v>41</v>
      </c>
      <c r="C321" s="340" t="s">
        <v>232</v>
      </c>
      <c r="D321" s="341">
        <v>80000</v>
      </c>
      <c r="E321" s="341">
        <v>80000</v>
      </c>
      <c r="F321" s="326" t="s">
        <v>315</v>
      </c>
      <c r="G321" s="341">
        <v>131625</v>
      </c>
      <c r="H321" s="341">
        <v>6375</v>
      </c>
      <c r="I321" s="341">
        <v>67875</v>
      </c>
    </row>
    <row r="322" spans="1:9">
      <c r="A322" s="324" t="s">
        <v>40</v>
      </c>
      <c r="B322" s="325" t="s">
        <v>41</v>
      </c>
      <c r="C322" s="340" t="s">
        <v>232</v>
      </c>
      <c r="D322" s="341">
        <v>42100</v>
      </c>
      <c r="E322" s="341">
        <v>42100</v>
      </c>
      <c r="F322" s="326" t="s">
        <v>235</v>
      </c>
      <c r="G322" s="341">
        <v>3375</v>
      </c>
      <c r="H322" s="341">
        <v>1125</v>
      </c>
      <c r="I322" s="341">
        <v>1125</v>
      </c>
    </row>
    <row r="323" spans="1:9">
      <c r="A323" s="324" t="s">
        <v>44</v>
      </c>
      <c r="B323" s="325" t="s">
        <v>45</v>
      </c>
      <c r="C323" s="340" t="s">
        <v>232</v>
      </c>
      <c r="D323" s="341">
        <v>20000</v>
      </c>
      <c r="E323" s="341">
        <v>20000</v>
      </c>
      <c r="F323" s="326" t="s">
        <v>315</v>
      </c>
      <c r="G323" s="341">
        <v>17975</v>
      </c>
      <c r="H323" s="341">
        <v>31875</v>
      </c>
      <c r="I323" s="341">
        <v>17975</v>
      </c>
    </row>
    <row r="324" spans="1:9">
      <c r="A324" s="324">
        <v>3235</v>
      </c>
      <c r="B324" s="325" t="s">
        <v>45</v>
      </c>
      <c r="C324" s="340" t="s">
        <v>232</v>
      </c>
      <c r="D324" s="341">
        <f>179528.69-17859.83-1065-20000</f>
        <v>140603.85999999999</v>
      </c>
      <c r="E324" s="341">
        <v>179528</v>
      </c>
      <c r="F324" s="326" t="s">
        <v>235</v>
      </c>
      <c r="G324" s="341">
        <v>525</v>
      </c>
      <c r="H324" s="341">
        <v>5625</v>
      </c>
      <c r="I324" s="341">
        <v>525</v>
      </c>
    </row>
    <row r="325" spans="1:9">
      <c r="A325" s="324" t="s">
        <v>48</v>
      </c>
      <c r="B325" s="325" t="s">
        <v>49</v>
      </c>
      <c r="C325" s="340" t="s">
        <v>232</v>
      </c>
      <c r="D325" s="341">
        <v>20000</v>
      </c>
      <c r="E325" s="341">
        <v>20000</v>
      </c>
      <c r="F325" s="326" t="s">
        <v>315</v>
      </c>
      <c r="G325" s="341">
        <v>679373</v>
      </c>
      <c r="H325" s="341">
        <v>932237</v>
      </c>
      <c r="I325" s="341">
        <v>853998</v>
      </c>
    </row>
    <row r="326" spans="1:9">
      <c r="A326" s="324" t="s">
        <v>48</v>
      </c>
      <c r="B326" s="325" t="s">
        <v>49</v>
      </c>
      <c r="C326" s="340" t="s">
        <v>232</v>
      </c>
      <c r="D326" s="341">
        <f>179528.69-17859.83-1065-20000</f>
        <v>140603.85999999999</v>
      </c>
      <c r="E326" s="341">
        <v>179528</v>
      </c>
      <c r="F326" s="326" t="s">
        <v>235</v>
      </c>
      <c r="G326" s="341">
        <v>24693</v>
      </c>
      <c r="H326" s="341">
        <v>25760</v>
      </c>
      <c r="I326" s="341">
        <v>15375</v>
      </c>
    </row>
    <row r="327" spans="1:9">
      <c r="A327" s="332" t="s">
        <v>54</v>
      </c>
      <c r="B327" s="321" t="s">
        <v>55</v>
      </c>
      <c r="C327" s="340" t="s">
        <v>232</v>
      </c>
      <c r="D327" s="348">
        <f>D329</f>
        <v>0</v>
      </c>
      <c r="E327" s="348">
        <f>E329</f>
        <v>-17859</v>
      </c>
      <c r="F327" s="349"/>
      <c r="G327" s="331">
        <f>G328+G329</f>
        <v>34874</v>
      </c>
      <c r="H327" s="331">
        <f t="shared" ref="H327:I327" si="83">H328+H329</f>
        <v>34874</v>
      </c>
      <c r="I327" s="331">
        <f t="shared" si="83"/>
        <v>34874</v>
      </c>
    </row>
    <row r="328" spans="1:9">
      <c r="A328" s="339">
        <v>3241</v>
      </c>
      <c r="B328" s="337" t="s">
        <v>55</v>
      </c>
      <c r="C328" s="340" t="s">
        <v>232</v>
      </c>
      <c r="D328" s="348"/>
      <c r="E328" s="348"/>
      <c r="F328" s="340" t="s">
        <v>315</v>
      </c>
      <c r="G328" s="341">
        <v>29812</v>
      </c>
      <c r="H328" s="341">
        <v>29812</v>
      </c>
      <c r="I328" s="341">
        <v>29812</v>
      </c>
    </row>
    <row r="329" spans="1:9">
      <c r="A329" s="324" t="s">
        <v>56</v>
      </c>
      <c r="B329" s="325" t="s">
        <v>55</v>
      </c>
      <c r="C329" s="340" t="s">
        <v>232</v>
      </c>
      <c r="D329" s="341">
        <v>0</v>
      </c>
      <c r="E329" s="341">
        <v>-17859</v>
      </c>
      <c r="F329" s="326" t="s">
        <v>235</v>
      </c>
      <c r="G329" s="341">
        <v>5062</v>
      </c>
      <c r="H329" s="341">
        <v>5062</v>
      </c>
      <c r="I329" s="341">
        <v>5062</v>
      </c>
    </row>
    <row r="330" spans="1:9">
      <c r="A330" s="332" t="s">
        <v>57</v>
      </c>
      <c r="B330" s="321" t="s">
        <v>58</v>
      </c>
      <c r="C330" s="340" t="s">
        <v>232</v>
      </c>
      <c r="D330" s="331">
        <f>SUM(D331:D332)</f>
        <v>0</v>
      </c>
      <c r="E330" s="331">
        <f>SUM(E331:E332)</f>
        <v>-1065</v>
      </c>
      <c r="F330" s="350"/>
      <c r="G330" s="331">
        <f t="shared" ref="G330:I330" si="84">SUM(G331:G332)</f>
        <v>22250</v>
      </c>
      <c r="H330" s="331">
        <f t="shared" si="84"/>
        <v>37500</v>
      </c>
      <c r="I330" s="331">
        <f t="shared" si="84"/>
        <v>22250</v>
      </c>
    </row>
    <row r="331" spans="1:9">
      <c r="A331" s="324" t="s">
        <v>63</v>
      </c>
      <c r="B331" s="325" t="s">
        <v>64</v>
      </c>
      <c r="C331" s="340" t="s">
        <v>232</v>
      </c>
      <c r="D331" s="341">
        <v>0</v>
      </c>
      <c r="E331" s="341">
        <v>-1065</v>
      </c>
      <c r="F331" s="326" t="s">
        <v>235</v>
      </c>
      <c r="G331" s="341">
        <v>525</v>
      </c>
      <c r="H331" s="341">
        <v>5625</v>
      </c>
      <c r="I331" s="341">
        <v>525</v>
      </c>
    </row>
    <row r="332" spans="1:9">
      <c r="A332" s="324" t="s">
        <v>63</v>
      </c>
      <c r="B332" s="325" t="s">
        <v>64</v>
      </c>
      <c r="C332" s="340" t="s">
        <v>232</v>
      </c>
      <c r="D332" s="341">
        <v>0</v>
      </c>
      <c r="E332" s="341">
        <v>0</v>
      </c>
      <c r="F332" s="326" t="s">
        <v>315</v>
      </c>
      <c r="G332" s="341">
        <v>21725</v>
      </c>
      <c r="H332" s="341">
        <v>31875</v>
      </c>
      <c r="I332" s="341">
        <v>21725</v>
      </c>
    </row>
    <row r="333" spans="1:9">
      <c r="A333" s="320" t="s">
        <v>173</v>
      </c>
      <c r="B333" s="321" t="s">
        <v>357</v>
      </c>
      <c r="C333" s="340" t="s">
        <v>232</v>
      </c>
      <c r="D333" s="348">
        <f>SUM(D334)</f>
        <v>0</v>
      </c>
      <c r="E333" s="348">
        <f>SUM(E334)</f>
        <v>-20000</v>
      </c>
      <c r="F333" s="349"/>
      <c r="G333" s="331">
        <f t="shared" ref="G333:I333" si="85">SUM(G334)</f>
        <v>0</v>
      </c>
      <c r="H333" s="331">
        <f t="shared" si="85"/>
        <v>0</v>
      </c>
      <c r="I333" s="331">
        <f t="shared" si="85"/>
        <v>0</v>
      </c>
    </row>
    <row r="334" spans="1:9">
      <c r="A334" s="336" t="s">
        <v>174</v>
      </c>
      <c r="B334" s="337" t="s">
        <v>175</v>
      </c>
      <c r="C334" s="340" t="s">
        <v>232</v>
      </c>
      <c r="D334" s="341">
        <v>0</v>
      </c>
      <c r="E334" s="341">
        <v>-20000</v>
      </c>
      <c r="F334" s="326" t="s">
        <v>235</v>
      </c>
      <c r="G334" s="331"/>
      <c r="H334" s="341"/>
      <c r="I334" s="331"/>
    </row>
    <row r="335" spans="1:9">
      <c r="A335" s="316" t="s">
        <v>392</v>
      </c>
      <c r="B335" s="346" t="s">
        <v>351</v>
      </c>
      <c r="C335" s="318" t="s">
        <v>350</v>
      </c>
      <c r="D335" s="319">
        <f>D336+D338</f>
        <v>0.02</v>
      </c>
      <c r="E335" s="319">
        <f>E336+E338</f>
        <v>0</v>
      </c>
      <c r="F335" s="319"/>
      <c r="G335" s="319">
        <f t="shared" ref="G335:I335" si="86">G336+G338</f>
        <v>3198036</v>
      </c>
      <c r="H335" s="319">
        <f t="shared" si="86"/>
        <v>2896042</v>
      </c>
      <c r="I335" s="319">
        <f t="shared" si="86"/>
        <v>2435040</v>
      </c>
    </row>
    <row r="336" spans="1:9">
      <c r="A336" s="320" t="s">
        <v>207</v>
      </c>
      <c r="B336" s="321" t="s">
        <v>352</v>
      </c>
      <c r="C336" s="322" t="s">
        <v>350</v>
      </c>
      <c r="D336" s="351">
        <f>SUM(D337:D337)</f>
        <v>0.02</v>
      </c>
      <c r="E336" s="351">
        <f>SUM(E337:E337)</f>
        <v>0</v>
      </c>
      <c r="F336" s="351"/>
      <c r="G336" s="323">
        <f t="shared" ref="G336:I336" si="87">SUM(G337:G337)</f>
        <v>3198036</v>
      </c>
      <c r="H336" s="323">
        <f t="shared" si="87"/>
        <v>2896042</v>
      </c>
      <c r="I336" s="323">
        <f t="shared" si="87"/>
        <v>2435040</v>
      </c>
    </row>
    <row r="337" spans="1:9">
      <c r="A337" s="324">
        <v>3512</v>
      </c>
      <c r="B337" s="325" t="s">
        <v>353</v>
      </c>
      <c r="C337" s="326" t="s">
        <v>350</v>
      </c>
      <c r="D337" s="327">
        <v>0.02</v>
      </c>
      <c r="E337" s="327">
        <v>0</v>
      </c>
      <c r="F337" s="326">
        <v>11</v>
      </c>
      <c r="G337" s="341">
        <v>3198036</v>
      </c>
      <c r="H337" s="341">
        <v>2896042</v>
      </c>
      <c r="I337" s="352">
        <v>2435040</v>
      </c>
    </row>
    <row r="338" spans="1:9">
      <c r="A338" s="332">
        <v>381</v>
      </c>
      <c r="B338" s="321" t="s">
        <v>354</v>
      </c>
      <c r="C338" s="333" t="s">
        <v>350</v>
      </c>
      <c r="D338" s="331">
        <f>D339</f>
        <v>0</v>
      </c>
      <c r="E338" s="331">
        <f>E339</f>
        <v>0</v>
      </c>
      <c r="F338" s="331"/>
      <c r="G338" s="331">
        <f t="shared" ref="G338:I338" si="88">G339</f>
        <v>0</v>
      </c>
      <c r="H338" s="331">
        <f t="shared" si="88"/>
        <v>0</v>
      </c>
      <c r="I338" s="331">
        <f t="shared" si="88"/>
        <v>0</v>
      </c>
    </row>
    <row r="339" spans="1:9">
      <c r="A339" s="324">
        <v>3811</v>
      </c>
      <c r="B339" s="325" t="s">
        <v>81</v>
      </c>
      <c r="C339" s="326" t="s">
        <v>350</v>
      </c>
      <c r="D339" s="327">
        <v>0</v>
      </c>
      <c r="E339" s="327">
        <v>0</v>
      </c>
      <c r="F339" s="326" t="s">
        <v>0</v>
      </c>
      <c r="G339" s="341"/>
      <c r="H339" s="341"/>
      <c r="I339" s="352"/>
    </row>
    <row r="341" spans="1:9">
      <c r="B341" t="s">
        <v>466</v>
      </c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401" spans="1:9">
      <c r="A401" s="196"/>
      <c r="B401" s="196"/>
      <c r="C401" s="196"/>
      <c r="D401" s="196"/>
      <c r="E401" s="196"/>
      <c r="F401" s="196"/>
      <c r="G401" s="196"/>
      <c r="H401" s="196"/>
      <c r="I401" s="196"/>
    </row>
    <row r="402" spans="1:9">
      <c r="A402" s="196"/>
      <c r="B402" s="197"/>
      <c r="C402" s="198"/>
      <c r="D402" s="199"/>
      <c r="E402" s="199"/>
      <c r="F402" s="199"/>
      <c r="G402" s="199"/>
      <c r="H402" s="199"/>
      <c r="I402" s="199"/>
    </row>
    <row r="405" spans="1:9">
      <c r="A405"/>
      <c r="D405" s="22"/>
      <c r="E405" s="22"/>
      <c r="H405" s="22"/>
      <c r="I405" s="22"/>
    </row>
    <row r="406" spans="1:9">
      <c r="A406"/>
      <c r="D406" s="90"/>
      <c r="E406" s="90"/>
      <c r="G406" s="89"/>
      <c r="H406" s="90"/>
      <c r="I406" s="90"/>
    </row>
    <row r="407" spans="1:9">
      <c r="A407"/>
      <c r="D407" s="90"/>
      <c r="E407" s="90"/>
      <c r="H407" s="90"/>
      <c r="I407" s="90"/>
    </row>
    <row r="408" spans="1:9">
      <c r="A408"/>
      <c r="D408" s="91"/>
      <c r="E408" s="91"/>
      <c r="H408" s="91"/>
      <c r="I408" s="91"/>
    </row>
  </sheetData>
  <customSheetViews>
    <customSheetView guid="{DE360DA9-5353-4F03-95DA-9238CFBE39D8}" showPageBreaks="1" printArea="1" hiddenRows="1" hiddenColumns="1" state="hidden">
      <pane ySplit="17" topLeftCell="A171" activePane="bottomLeft" state="frozen"/>
      <selection pane="bottomLeft" activeCell="F177" sqref="F177"/>
      <pageMargins left="0.39370078740157483" right="0.19685039370078741" top="0.39370078740157483" bottom="0.39370078740157483" header="0.39370078740157483" footer="0.39370078740157483"/>
      <printOptions horizontalCentered="1"/>
      <pageSetup paperSize="9" orientation="landscape" r:id="rId1"/>
      <headerFooter>
        <oddFooter>&amp;CHAMAG-BICRO&amp;R&amp;P</oddFooter>
      </headerFooter>
    </customSheetView>
    <customSheetView guid="{4FFB33FE-6696-4144-BF99-378C5196B940}" showPageBreaks="1" printArea="1" hiddenRows="1" hiddenColumns="1" state="hidden">
      <pane ySplit="16" topLeftCell="A171" activePane="bottomLeft" state="frozen"/>
      <selection pane="bottomLeft" activeCell="F177" sqref="F177"/>
      <pageMargins left="0.39370078740157483" right="0.19685039370078741" top="0.39370078740157483" bottom="0.39370078740157483" header="0.39370078740157483" footer="0.39370078740157483"/>
      <printOptions horizontalCentered="1"/>
      <pageSetup paperSize="9" orientation="landscape" r:id="rId2"/>
      <headerFooter>
        <oddFooter>&amp;CHAMAG-BICRO&amp;R&amp;P</oddFooter>
      </headerFooter>
    </customSheetView>
    <customSheetView guid="{3D59341C-00F4-4635-AC4F-8988CF6BE637}" hiddenRows="1" hiddenColumns="1" state="hidden">
      <pane ySplit="17" topLeftCell="A171" activePane="bottomLeft" state="frozen"/>
      <selection pane="bottomLeft" activeCell="F177" sqref="F177"/>
      <pageMargins left="0.39370078740157483" right="0.19685039370078741" top="0.39370078740157483" bottom="0.39370078740157483" header="0.39370078740157483" footer="0.39370078740157483"/>
      <printOptions horizontalCentered="1"/>
      <pageSetup paperSize="9" orientation="landscape" r:id="rId3"/>
      <headerFooter>
        <oddFooter>&amp;CHAMAG-BICRO&amp;R&amp;P</oddFooter>
      </headerFooter>
    </customSheetView>
    <customSheetView guid="{5251AB89-31D9-4C6C-945A-13C9748C2E26}" hiddenRows="1" hiddenColumns="1" state="hidden">
      <pane ySplit="17" topLeftCell="A171" activePane="bottomLeft" state="frozen"/>
      <selection pane="bottomLeft" activeCell="F177" sqref="F177"/>
      <pageMargins left="0.39370078740157483" right="0.19685039370078741" top="0.39370078740157483" bottom="0.39370078740157483" header="0.39370078740157483" footer="0.39370078740157483"/>
      <printOptions horizontalCentered="1"/>
      <pageSetup paperSize="9" orientation="landscape" r:id="rId4"/>
      <headerFooter>
        <oddFooter>&amp;CHAMAG-BICRO&amp;R&amp;P</oddFooter>
      </headerFooter>
    </customSheetView>
    <customSheetView guid="{14A1FC8C-94B5-4B4E-9269-30661976D1D1}" hiddenRows="1" hiddenColumns="1" state="hidden">
      <pane ySplit="17" topLeftCell="A171" activePane="bottomLeft" state="frozen"/>
      <selection pane="bottomLeft" activeCell="F177" sqref="F177"/>
      <pageMargins left="0.39370078740157483" right="0.19685039370078741" top="0.39370078740157483" bottom="0.39370078740157483" header="0.39370078740157483" footer="0.39370078740157483"/>
      <printOptions horizontalCentered="1"/>
      <pageSetup paperSize="9" orientation="landscape" r:id="rId5"/>
      <headerFooter>
        <oddFooter>&amp;CHAMAG-BICRO&amp;R&amp;P</oddFooter>
      </headerFooter>
    </customSheetView>
    <customSheetView guid="{D0F51479-7B68-4FFC-8604-F0A17468B00E}" hiddenRows="1" hiddenColumns="1" state="hidden">
      <pane ySplit="17" topLeftCell="A171" activePane="bottomLeft" state="frozen"/>
      <selection pane="bottomLeft" activeCell="F177" sqref="F177"/>
      <pageMargins left="0.39370078740157483" right="0.19685039370078741" top="0.39370078740157483" bottom="0.39370078740157483" header="0.39370078740157483" footer="0.39370078740157483"/>
      <printOptions horizontalCentered="1"/>
      <pageSetup paperSize="9" orientation="landscape" r:id="rId6"/>
      <headerFooter>
        <oddFooter>&amp;CHAMAG-BICRO&amp;R&amp;P</oddFooter>
      </headerFooter>
    </customSheetView>
    <customSheetView guid="{0D7CE69A-AF67-471F-AE1C-92FEF35D1955}" showPageBreaks="1" printArea="1" hiddenRows="1" hiddenColumns="1" state="hidden">
      <pane ySplit="17" topLeftCell="A171" activePane="bottomLeft" state="frozen"/>
      <selection pane="bottomLeft" activeCell="F177" sqref="F177"/>
      <pageMargins left="0.39370078740157483" right="0.19685039370078741" top="0.39370078740157483" bottom="0.39370078740157483" header="0.39370078740157483" footer="0.39370078740157483"/>
      <printOptions horizontalCentered="1"/>
      <pageSetup paperSize="9" orientation="landscape" r:id="rId7"/>
      <headerFooter>
        <oddFooter>&amp;CHAMAG-BICRO&amp;R&amp;P</oddFooter>
      </headerFooter>
    </customSheetView>
    <customSheetView guid="{3EC3B099-A84F-48D2-A97E-B7686AB72BE7}" showPageBreaks="1" printArea="1" hiddenRows="1" hiddenColumns="1" state="hidden">
      <pane ySplit="17" topLeftCell="A171" activePane="bottomLeft" state="frozen"/>
      <selection pane="bottomLeft" activeCell="F177" sqref="F177"/>
      <pageMargins left="0.39370078740157483" right="0.19685039370078741" top="0.39370078740157483" bottom="0.39370078740157483" header="0.39370078740157483" footer="0.39370078740157483"/>
      <printOptions horizontalCentered="1"/>
      <pageSetup paperSize="9" orientation="landscape" r:id="rId8"/>
      <headerFooter>
        <oddFooter>&amp;CHAMAG-BICRO&amp;R&amp;P</oddFooter>
      </headerFooter>
    </customSheetView>
  </customSheetViews>
  <mergeCells count="4">
    <mergeCell ref="B3:C3"/>
    <mergeCell ref="A4:C16"/>
    <mergeCell ref="A17:C17"/>
    <mergeCell ref="A1:I1"/>
  </mergeCells>
  <printOptions horizontalCentered="1"/>
  <pageMargins left="0.39370078740157483" right="0.19685039370078741" top="0.39370078740157483" bottom="0.39370078740157483" header="0.39370078740157483" footer="0.39370078740157483"/>
  <pageSetup paperSize="9" orientation="landscape" r:id="rId9"/>
  <headerFooter>
    <oddFooter>&amp;CHAMAG-BICRO&amp;R&amp;P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577"/>
  <sheetViews>
    <sheetView tabSelected="1" zoomScaleNormal="100" zoomScaleSheetLayoutView="130" workbookViewId="0">
      <pane ySplit="18" topLeftCell="A19" activePane="bottomLeft" state="frozen"/>
      <selection pane="bottomLeft" activeCell="M6" sqref="M6"/>
    </sheetView>
  </sheetViews>
  <sheetFormatPr defaultRowHeight="15"/>
  <cols>
    <col min="1" max="1" width="9.7109375" style="61" customWidth="1"/>
    <col min="2" max="2" width="51.140625" customWidth="1"/>
    <col min="3" max="4" width="5.7109375" customWidth="1"/>
    <col min="5" max="7" width="16.7109375" customWidth="1"/>
    <col min="8" max="8" width="15.5703125" customWidth="1"/>
    <col min="9" max="9" width="14" customWidth="1"/>
    <col min="10" max="10" width="16.7109375" customWidth="1"/>
    <col min="11" max="11" width="14" customWidth="1"/>
    <col min="12" max="26" width="9.140625" customWidth="1"/>
    <col min="29" max="29" width="24.7109375" customWidth="1"/>
  </cols>
  <sheetData>
    <row r="1" spans="1:10" ht="15.75" thickBot="1">
      <c r="A1" s="1091" t="s">
        <v>556</v>
      </c>
      <c r="B1" s="1091"/>
      <c r="C1" s="1091"/>
      <c r="D1" s="1091"/>
      <c r="E1" s="1091"/>
      <c r="F1" s="1074"/>
      <c r="G1" s="840"/>
    </row>
    <row r="2" spans="1:10" ht="30" customHeight="1">
      <c r="A2" s="919"/>
      <c r="B2" s="920"/>
      <c r="C2" s="902" t="s">
        <v>220</v>
      </c>
      <c r="D2" s="902" t="s">
        <v>180</v>
      </c>
      <c r="E2" s="902" t="s">
        <v>491</v>
      </c>
      <c r="F2" s="902" t="s">
        <v>524</v>
      </c>
      <c r="G2" s="903" t="s">
        <v>545</v>
      </c>
    </row>
    <row r="3" spans="1:10" ht="25.5" customHeight="1">
      <c r="A3" s="921" t="s">
        <v>379</v>
      </c>
      <c r="B3" s="1092" t="s">
        <v>380</v>
      </c>
      <c r="C3" s="1093"/>
      <c r="D3" s="922"/>
      <c r="E3" s="922">
        <f>E4+E5+E7+E8+E9+E10+E11+E12+E13+E14+E15+E16+E17</f>
        <v>751149396</v>
      </c>
      <c r="F3" s="922">
        <f>F4+F5+F7+F8+F9+F10+F11+F12+F13+F14+F15+F16+F17</f>
        <v>568068650.99987507</v>
      </c>
      <c r="G3" s="923">
        <f>G4+G5+G7+G8+G9+G10+G11+G12+G13+G14+G15+G16+G17</f>
        <v>392306206</v>
      </c>
    </row>
    <row r="4" spans="1:10">
      <c r="A4" s="1097"/>
      <c r="B4" s="1098"/>
      <c r="C4" s="1099"/>
      <c r="D4" s="925">
        <v>11</v>
      </c>
      <c r="E4" s="924">
        <f>E22+E23+E25+E27+E31+E32+E33+E34+E36+E37+E38+E39+E42+E43+E44+E46+E47+E48+E49+E50+E51+E53+E55+E56+E57+E58+E59+E60+E61+E64+E74+E77+E78+E82+E248+E252+E254+E255+E256+E257+E259+E261+E262+E265+E371+E242+E243+E423+E428+E431+E432+E433+E435+E437+E438+E440+E443+E446+E65+E80+E241+E239+E238+E245+E79+E426+E538+E71+E424</f>
        <v>29812601</v>
      </c>
      <c r="F4" s="924">
        <f>F22+F23+F25+F27+F31+F32+F33+F34+F36+F37+F38+F39+F42+F43+F44+F46+F47+F48+F49+F50+F51+F53+F55+F56+F57+F58+F59+F60+F61+F64+F74+F77+F78+F82+F248+F252+F254+F255+F256+F257+F259+F261+F262+F265+F371+F242+F243+F423+F428+F431+F432+F433+F435+F437+F438+F440+F443+F446+F65+F80+F241+F239+F238+F245+F79+F426+F538+F71+F424</f>
        <v>32492147</v>
      </c>
      <c r="G4" s="926">
        <f>G22+G23+G25+G27+G31+G32+G33+G34+G36+G37+G38+G39+G42+G43+G44+G46+G47+G48+G49+G50+G51+G53+G55+G56+G57+G58+G59+G60+G61+G64+G74+G77+G78+G82+G248+G252+G254+G255+G256+G257+G259+G261+G262+G265+G371+G242+G243+G423+G428+G431+G432+G433+G435+G437+G438+G440+G443+G446+G65+G80+G241+G239+G238+G245+G79+G426+G538+G71+G424</f>
        <v>33269881</v>
      </c>
      <c r="H4" s="22"/>
      <c r="I4" s="22"/>
      <c r="J4" s="22"/>
    </row>
    <row r="5" spans="1:10">
      <c r="A5" s="1100"/>
      <c r="B5" s="1101"/>
      <c r="C5" s="1102"/>
      <c r="D5" s="927">
        <v>12</v>
      </c>
      <c r="E5" s="924">
        <f>E93+E95+E99+E103+E109+E111+E113+E119+E121+E125+E129+E131+E133+E135+E137+E139+E141+E143+E147+E153+E159+E165+E167+E171+E318+E326+E328+E334+E340+E344+E346+E348+E352+E356+E360+E366+E123+E405+E411+E115+E322+E336+E350+E469+E473+E477+E483+E485+E487+E491+E495+E499+E505+E509+E517+E523+E529+E533+E501+E497+E503+E511</f>
        <v>9187399</v>
      </c>
      <c r="F5" s="924">
        <f>F93+F95+F99+F103+F109+F111+F113+F119+F121+F125+F129+F131+F133+F135+F137+F139+F141+F143+F147+F153+F159+F165+F167+F171+F318+F326+F328+F334+F340+F344+F346+F348+F352+F356+F360+F366+F123+F405+F411+F115+F322+F336+F350+F469+F473+F477+F483+F485+F487+F491+F495+F499+F505+F509+F517+F523+F529+F533+F501+F497+F503+F511</f>
        <v>9767853</v>
      </c>
      <c r="G5" s="926">
        <f>G93+G95+G99+G103+G109+G111+G113+G119+G121+G125+G129+G131+G133+G135+G137+G139+G141+G143+G147+G153+G159+G165+G167+G171+G318+G326+G328+G334+G340+G344+G346+G348+G352+G356+G360+G366+G123+G405+G411+G115+G322+G336+G350+G469+G473+G477+G483+G485+G487+G491+G495+G499+G505+G509+G517+G523+G529+G533+G501+G497+G503+G511</f>
        <v>10230119</v>
      </c>
    </row>
    <row r="6" spans="1:10" ht="15.75" thickBot="1">
      <c r="A6" s="1100"/>
      <c r="B6" s="1101"/>
      <c r="C6" s="1102"/>
      <c r="D6" s="1026" t="s">
        <v>267</v>
      </c>
      <c r="E6" s="1027">
        <f t="shared" ref="E6:F6" si="0">E4+E5</f>
        <v>39000000</v>
      </c>
      <c r="F6" s="1027">
        <f t="shared" si="0"/>
        <v>42260000</v>
      </c>
      <c r="G6" s="1028">
        <f t="shared" ref="G6" si="1">G4+G5</f>
        <v>43500000</v>
      </c>
    </row>
    <row r="7" spans="1:10">
      <c r="A7" s="1100"/>
      <c r="B7" s="1101"/>
      <c r="C7" s="1102"/>
      <c r="D7" s="1032" t="s">
        <v>0</v>
      </c>
      <c r="E7" s="1033">
        <f>E86+E87</f>
        <v>80000000</v>
      </c>
      <c r="F7" s="1033">
        <f t="shared" ref="F7" si="2">F86+F87</f>
        <v>80000000</v>
      </c>
      <c r="G7" s="1034">
        <f t="shared" ref="G7" si="3">G86+G87</f>
        <v>80000000</v>
      </c>
    </row>
    <row r="8" spans="1:10">
      <c r="A8" s="1100"/>
      <c r="B8" s="1101"/>
      <c r="C8" s="1102"/>
      <c r="D8" s="1035" t="s">
        <v>82</v>
      </c>
      <c r="E8" s="884">
        <f>E188+E419+E454+E457+E462</f>
        <v>131078824</v>
      </c>
      <c r="F8" s="884">
        <f t="shared" ref="F8:G8" si="4">F188+F419+F454+F457+F462</f>
        <v>116664208</v>
      </c>
      <c r="G8" s="904">
        <f t="shared" si="4"/>
        <v>0</v>
      </c>
    </row>
    <row r="9" spans="1:10">
      <c r="A9" s="1100"/>
      <c r="B9" s="1101"/>
      <c r="C9" s="1102"/>
      <c r="D9" s="1035" t="s">
        <v>216</v>
      </c>
      <c r="E9" s="884">
        <f>E182+E184+E456+E459</f>
        <v>62000000</v>
      </c>
      <c r="F9" s="884">
        <f>F182+F184+F456+F459</f>
        <v>87000000</v>
      </c>
      <c r="G9" s="904">
        <f>G182+G184+G456+G459</f>
        <v>103000000</v>
      </c>
    </row>
    <row r="10" spans="1:10">
      <c r="A10" s="1100"/>
      <c r="B10" s="1101"/>
      <c r="C10" s="1102"/>
      <c r="D10" s="1035">
        <v>563</v>
      </c>
      <c r="E10" s="884">
        <f t="shared" ref="E10:G10" si="5">E183+E185+E189</f>
        <v>181574000</v>
      </c>
      <c r="F10" s="884">
        <f t="shared" si="5"/>
        <v>90000000</v>
      </c>
      <c r="G10" s="904">
        <f t="shared" si="5"/>
        <v>100000000</v>
      </c>
    </row>
    <row r="11" spans="1:10" ht="15.75" thickBot="1">
      <c r="A11" s="1100"/>
      <c r="B11" s="1101"/>
      <c r="C11" s="1102"/>
      <c r="D11" s="1036" t="s">
        <v>521</v>
      </c>
      <c r="E11" s="1037">
        <f t="shared" ref="E11:F11" si="6">E455+E458+E463</f>
        <v>116500000</v>
      </c>
      <c r="F11" s="1037">
        <f t="shared" si="6"/>
        <v>37990499.999875002</v>
      </c>
      <c r="G11" s="1038">
        <f t="shared" ref="G11" si="7">G455+G458+G463</f>
        <v>0</v>
      </c>
    </row>
    <row r="12" spans="1:10">
      <c r="A12" s="1100"/>
      <c r="B12" s="1101"/>
      <c r="C12" s="1102"/>
      <c r="D12" s="1029" t="s">
        <v>272</v>
      </c>
      <c r="E12" s="1030">
        <f>E68</f>
        <v>32000</v>
      </c>
      <c r="F12" s="1030">
        <f t="shared" ref="F12:G12" si="8">F68</f>
        <v>0</v>
      </c>
      <c r="G12" s="1031">
        <f t="shared" si="8"/>
        <v>0</v>
      </c>
    </row>
    <row r="13" spans="1:10">
      <c r="A13" s="1100"/>
      <c r="B13" s="1101"/>
      <c r="C13" s="1102"/>
      <c r="D13" s="927" t="s">
        <v>235</v>
      </c>
      <c r="E13" s="924">
        <f>E269+E270+E272+E273+E274+E275+E276+E278+E280+E281+E45</f>
        <v>3190000</v>
      </c>
      <c r="F13" s="924">
        <f>F269+F270+F272+F273+F274+F275+F276+F278+F280+F281+F45</f>
        <v>600000</v>
      </c>
      <c r="G13" s="926">
        <f>G269+G270+G272+G273+G274+G275+G276+G278+G280+G281+G45</f>
        <v>600000</v>
      </c>
    </row>
    <row r="14" spans="1:10">
      <c r="A14" s="1100"/>
      <c r="B14" s="1101"/>
      <c r="C14" s="1102"/>
      <c r="D14" s="927" t="s">
        <v>507</v>
      </c>
      <c r="E14" s="924">
        <f>E406+E415</f>
        <v>2635000</v>
      </c>
      <c r="F14" s="924">
        <f t="shared" ref="F14:G14" si="9">F406+F415</f>
        <v>1360000</v>
      </c>
      <c r="G14" s="926">
        <f t="shared" si="9"/>
        <v>735000</v>
      </c>
    </row>
    <row r="15" spans="1:10">
      <c r="A15" s="1100"/>
      <c r="B15" s="1101"/>
      <c r="C15" s="1102"/>
      <c r="D15" s="927" t="s">
        <v>315</v>
      </c>
      <c r="E15" s="924">
        <f>E414+E319+E323+E327+E329+E335+E337+E341+E345+E347+E349+E351+E353+E357+E361+E375+E377+E380+E381+E383+E385+E387+E388+E390+E394+E386+E399+E397+E367</f>
        <v>45869522</v>
      </c>
      <c r="F15" s="924">
        <f t="shared" ref="F15:G15" si="10">F414+F319+F323+F327+F329+F335+F337+F341+F345+F347+F349+F351+F353+F357+F361+F375+F377+F380+F381+F383+F385+F387+F388+F390+F394+F386+F399+F397+F367</f>
        <v>24403913</v>
      </c>
      <c r="G15" s="926">
        <f t="shared" si="10"/>
        <v>2396686</v>
      </c>
      <c r="H15" s="22"/>
    </row>
    <row r="16" spans="1:10">
      <c r="A16" s="1100"/>
      <c r="B16" s="1101"/>
      <c r="C16" s="1102"/>
      <c r="D16" s="927" t="s">
        <v>234</v>
      </c>
      <c r="E16" s="924">
        <f>E94+E96+E100+E104+E110+E112+E120+E114+E122+E124+E126+E130+E132+E134+E136+E138+E140+E142+E144+E148+E154+E160+E166+E168+E172+E176+E193+E195+E197+E200+E201+E202+E203+E205+E206+E207+E209+E210+E211+E212+E213+E214+E215+E216+E218+E219+E223+E226+E229+E232+E234+E285+E287+E290+E291+E292+E293+E295+E296+E298+E299+E300+E301+E302+E304+E306+E307+E308+E311+E312+E116+E220</f>
        <v>85407575</v>
      </c>
      <c r="F16" s="924">
        <f>F94+F96+F100+F104+F110+F112+F120+F114+F122+F124+F126+F130+F132+F134+F136+F138+F140+F142+F144+F148+F154+F160+F166+F168+F172+F176+F193+F195+F197+F200+F201+F202+F203+F205+F206+F207+F209+F210+F211+F212+F213+F214+F215+F216+F218+F219+F223+F226+F229+F232+F234+F285+F287+F290+F291+F292+F293+F295+F296+F298+F299+F300+F301+F302+F304+F306+F307+F308+F311+F312+F116+F220</f>
        <v>84079405</v>
      </c>
      <c r="G16" s="926">
        <f>G94+G96+G100+G104+G110+G112+G120+G114+G122+G124+G126+G130+G132+G134+G136+G138+G140+G142+G144+G148+G154+G160+G166+G168+G172+G176+G193+G195+G197+G200+G201+G202+G203+G205+G206+G207+G209+G210+G211+G212+G213+G214+G215+G216+G218+G219+G223+G226+G229+G232+G234+G285+G287+G290+G291+G292+G293+G295+G296+G298+G299+G300+G301+G302+G304+G306+G307+G308+G311+G312+G116+G220</f>
        <v>58349895</v>
      </c>
    </row>
    <row r="17" spans="1:10">
      <c r="A17" s="1103"/>
      <c r="B17" s="1104"/>
      <c r="C17" s="1105"/>
      <c r="D17" s="927" t="s">
        <v>521</v>
      </c>
      <c r="E17" s="924">
        <f>E470+E474+E478+E484+E486+E524+E530+E506+E534+E510+E518+E500+E496+E492+E502+E498+E504+E488+E512</f>
        <v>3862475</v>
      </c>
      <c r="F17" s="924">
        <f t="shared" ref="F17:G17" si="11">F470+F474+F478+F484+F486+F524+F530+F506+F534+F510+F518+F500+F496+F492+F502+F498+F504+F488+F512</f>
        <v>3710625</v>
      </c>
      <c r="G17" s="926">
        <f t="shared" si="11"/>
        <v>3724625</v>
      </c>
    </row>
    <row r="18" spans="1:10">
      <c r="A18" s="1094" t="s">
        <v>377</v>
      </c>
      <c r="B18" s="1095"/>
      <c r="C18" s="1096"/>
      <c r="D18" s="928"/>
      <c r="E18" s="928"/>
      <c r="F18" s="928"/>
      <c r="G18" s="929"/>
      <c r="H18" s="22"/>
      <c r="I18" s="22"/>
      <c r="J18" s="22"/>
    </row>
    <row r="19" spans="1:10">
      <c r="A19" s="930" t="s">
        <v>381</v>
      </c>
      <c r="B19" s="931" t="s">
        <v>187</v>
      </c>
      <c r="C19" s="932" t="s">
        <v>232</v>
      </c>
      <c r="D19" s="933"/>
      <c r="E19" s="933">
        <f>E20+E28+E62+E72+E75+E69+E66+E29</f>
        <v>16410000</v>
      </c>
      <c r="F19" s="933">
        <f>F20+F28+F62+F72+F75+F69+F66+F29</f>
        <v>14163000</v>
      </c>
      <c r="G19" s="934">
        <f>G20+G28+G62+G72+G75+G69+G66+G29</f>
        <v>14621150</v>
      </c>
      <c r="H19" s="22"/>
    </row>
    <row r="20" spans="1:10">
      <c r="A20" s="935">
        <v>31</v>
      </c>
      <c r="B20" s="936" t="s">
        <v>474</v>
      </c>
      <c r="C20" s="937" t="s">
        <v>232</v>
      </c>
      <c r="D20" s="939">
        <v>11</v>
      </c>
      <c r="E20" s="938">
        <f>E21+E24+E26</f>
        <v>6932000</v>
      </c>
      <c r="F20" s="938">
        <f>F21+F24+F26</f>
        <v>6999000</v>
      </c>
      <c r="G20" s="940">
        <f>G21+G24+G26</f>
        <v>7077150</v>
      </c>
      <c r="H20" s="22"/>
      <c r="I20" s="22"/>
      <c r="J20" s="22"/>
    </row>
    <row r="21" spans="1:10">
      <c r="A21" s="941">
        <v>311</v>
      </c>
      <c r="B21" s="942" t="s">
        <v>2</v>
      </c>
      <c r="C21" s="943" t="s">
        <v>232</v>
      </c>
      <c r="D21" s="945">
        <v>11</v>
      </c>
      <c r="E21" s="944">
        <f>SUM(E22:E23)</f>
        <v>5020000</v>
      </c>
      <c r="F21" s="944">
        <f>SUM(F22:F23)</f>
        <v>5045000</v>
      </c>
      <c r="G21" s="946">
        <f>SUM(G22:G23)</f>
        <v>5070125</v>
      </c>
      <c r="H21" s="22"/>
      <c r="I21" s="22"/>
      <c r="J21" s="22"/>
    </row>
    <row r="22" spans="1:10">
      <c r="A22" s="947">
        <v>3111</v>
      </c>
      <c r="B22" s="885" t="s">
        <v>4</v>
      </c>
      <c r="C22" s="943" t="s">
        <v>232</v>
      </c>
      <c r="D22" s="945" t="s">
        <v>0</v>
      </c>
      <c r="E22" s="886">
        <v>5000000</v>
      </c>
      <c r="F22" s="886">
        <v>5025000</v>
      </c>
      <c r="G22" s="906">
        <v>5050125</v>
      </c>
    </row>
    <row r="23" spans="1:10">
      <c r="A23" s="947">
        <v>3113</v>
      </c>
      <c r="B23" s="885" t="s">
        <v>6</v>
      </c>
      <c r="C23" s="943" t="s">
        <v>232</v>
      </c>
      <c r="D23" s="945" t="s">
        <v>0</v>
      </c>
      <c r="E23" s="886">
        <v>20000</v>
      </c>
      <c r="F23" s="886">
        <v>20000</v>
      </c>
      <c r="G23" s="906">
        <v>20000</v>
      </c>
    </row>
    <row r="24" spans="1:10">
      <c r="A24" s="941">
        <v>312</v>
      </c>
      <c r="B24" s="942" t="s">
        <v>8</v>
      </c>
      <c r="C24" s="948" t="s">
        <v>232</v>
      </c>
      <c r="D24" s="949" t="s">
        <v>0</v>
      </c>
      <c r="E24" s="944">
        <f t="shared" ref="E24:G24" si="12">E25</f>
        <v>912000</v>
      </c>
      <c r="F24" s="944">
        <f t="shared" si="12"/>
        <v>949000</v>
      </c>
      <c r="G24" s="946">
        <f t="shared" si="12"/>
        <v>997000</v>
      </c>
    </row>
    <row r="25" spans="1:10">
      <c r="A25" s="947">
        <v>3121</v>
      </c>
      <c r="B25" s="885" t="s">
        <v>8</v>
      </c>
      <c r="C25" s="943" t="s">
        <v>232</v>
      </c>
      <c r="D25" s="945" t="s">
        <v>0</v>
      </c>
      <c r="E25" s="886">
        <v>912000</v>
      </c>
      <c r="F25" s="886">
        <v>949000</v>
      </c>
      <c r="G25" s="906">
        <v>997000</v>
      </c>
    </row>
    <row r="26" spans="1:10">
      <c r="A26" s="941">
        <v>313</v>
      </c>
      <c r="B26" s="942" t="s">
        <v>11</v>
      </c>
      <c r="C26" s="948" t="s">
        <v>232</v>
      </c>
      <c r="D26" s="949" t="s">
        <v>0</v>
      </c>
      <c r="E26" s="944">
        <f>E27</f>
        <v>1000000</v>
      </c>
      <c r="F26" s="944">
        <f t="shared" ref="F26:G26" si="13">F27</f>
        <v>1005000</v>
      </c>
      <c r="G26" s="946">
        <f t="shared" si="13"/>
        <v>1010025</v>
      </c>
    </row>
    <row r="27" spans="1:10">
      <c r="A27" s="947">
        <v>3132</v>
      </c>
      <c r="B27" s="885" t="s">
        <v>13</v>
      </c>
      <c r="C27" s="943" t="s">
        <v>232</v>
      </c>
      <c r="D27" s="945" t="s">
        <v>0</v>
      </c>
      <c r="E27" s="886">
        <v>1000000</v>
      </c>
      <c r="F27" s="886">
        <v>1005000</v>
      </c>
      <c r="G27" s="906">
        <v>1010025</v>
      </c>
    </row>
    <row r="28" spans="1:10">
      <c r="A28" s="935">
        <v>32</v>
      </c>
      <c r="B28" s="936" t="s">
        <v>476</v>
      </c>
      <c r="C28" s="937" t="s">
        <v>232</v>
      </c>
      <c r="D28" s="939">
        <v>11</v>
      </c>
      <c r="E28" s="938">
        <f>E30+E35+E40+E52+E54</f>
        <v>6211000</v>
      </c>
      <c r="F28" s="938">
        <f>F30+F35+F40+F52+F54</f>
        <v>6556000</v>
      </c>
      <c r="G28" s="940">
        <f>G30+G35+G40+G52+G54</f>
        <v>6936000</v>
      </c>
    </row>
    <row r="29" spans="1:10">
      <c r="A29" s="935">
        <v>32</v>
      </c>
      <c r="B29" s="936" t="s">
        <v>476</v>
      </c>
      <c r="C29" s="937" t="s">
        <v>232</v>
      </c>
      <c r="D29" s="939">
        <v>51</v>
      </c>
      <c r="E29" s="938">
        <f>E41</f>
        <v>2590000</v>
      </c>
      <c r="F29" s="938">
        <f t="shared" ref="F29" si="14">F41</f>
        <v>0</v>
      </c>
      <c r="G29" s="940">
        <f>G41</f>
        <v>0</v>
      </c>
    </row>
    <row r="30" spans="1:10">
      <c r="A30" s="941">
        <v>321</v>
      </c>
      <c r="B30" s="942" t="s">
        <v>17</v>
      </c>
      <c r="C30" s="948" t="s">
        <v>232</v>
      </c>
      <c r="D30" s="949">
        <v>11</v>
      </c>
      <c r="E30" s="944">
        <f>E31+E32+E33+E34</f>
        <v>621000</v>
      </c>
      <c r="F30" s="944">
        <f>F31+F32+F33+F34</f>
        <v>621000</v>
      </c>
      <c r="G30" s="946">
        <f>G31+G32+G33+G34</f>
        <v>621000</v>
      </c>
    </row>
    <row r="31" spans="1:10">
      <c r="A31" s="947">
        <v>3211</v>
      </c>
      <c r="B31" s="885" t="s">
        <v>19</v>
      </c>
      <c r="C31" s="943" t="s">
        <v>232</v>
      </c>
      <c r="D31" s="945" t="s">
        <v>0</v>
      </c>
      <c r="E31" s="886">
        <v>120000</v>
      </c>
      <c r="F31" s="886">
        <v>120000</v>
      </c>
      <c r="G31" s="906">
        <v>120000</v>
      </c>
    </row>
    <row r="32" spans="1:10">
      <c r="A32" s="947">
        <v>3212</v>
      </c>
      <c r="B32" s="885" t="s">
        <v>21</v>
      </c>
      <c r="C32" s="943" t="s">
        <v>232</v>
      </c>
      <c r="D32" s="945" t="s">
        <v>0</v>
      </c>
      <c r="E32" s="886">
        <v>400000</v>
      </c>
      <c r="F32" s="886">
        <v>400000</v>
      </c>
      <c r="G32" s="906">
        <v>400000</v>
      </c>
    </row>
    <row r="33" spans="1:7">
      <c r="A33" s="947">
        <v>3213</v>
      </c>
      <c r="B33" s="885" t="s">
        <v>23</v>
      </c>
      <c r="C33" s="943" t="s">
        <v>232</v>
      </c>
      <c r="D33" s="945" t="s">
        <v>0</v>
      </c>
      <c r="E33" s="886">
        <v>100000</v>
      </c>
      <c r="F33" s="886">
        <v>100000</v>
      </c>
      <c r="G33" s="906">
        <v>100000</v>
      </c>
    </row>
    <row r="34" spans="1:7">
      <c r="A34" s="905">
        <v>3214</v>
      </c>
      <c r="B34" s="885" t="s">
        <v>335</v>
      </c>
      <c r="C34" s="943" t="s">
        <v>232</v>
      </c>
      <c r="D34" s="945" t="s">
        <v>0</v>
      </c>
      <c r="E34" s="886">
        <v>1000</v>
      </c>
      <c r="F34" s="886">
        <v>1000</v>
      </c>
      <c r="G34" s="906">
        <v>1000</v>
      </c>
    </row>
    <row r="35" spans="1:7">
      <c r="A35" s="941">
        <v>322</v>
      </c>
      <c r="B35" s="942" t="s">
        <v>25</v>
      </c>
      <c r="C35" s="948" t="s">
        <v>232</v>
      </c>
      <c r="D35" s="949" t="s">
        <v>0</v>
      </c>
      <c r="E35" s="944">
        <f t="shared" ref="E35:F35" si="15">SUM(E36:E39)</f>
        <v>745000</v>
      </c>
      <c r="F35" s="944">
        <f t="shared" si="15"/>
        <v>745000</v>
      </c>
      <c r="G35" s="946">
        <f t="shared" ref="G35" si="16">SUM(G36:G39)</f>
        <v>745000</v>
      </c>
    </row>
    <row r="36" spans="1:7">
      <c r="A36" s="947">
        <v>3221</v>
      </c>
      <c r="B36" s="885" t="s">
        <v>27</v>
      </c>
      <c r="C36" s="943" t="s">
        <v>232</v>
      </c>
      <c r="D36" s="945" t="s">
        <v>0</v>
      </c>
      <c r="E36" s="886">
        <v>290000</v>
      </c>
      <c r="F36" s="886">
        <v>290000</v>
      </c>
      <c r="G36" s="906">
        <v>290000</v>
      </c>
    </row>
    <row r="37" spans="1:7">
      <c r="A37" s="947">
        <v>3223</v>
      </c>
      <c r="B37" s="950" t="s">
        <v>29</v>
      </c>
      <c r="C37" s="943" t="s">
        <v>232</v>
      </c>
      <c r="D37" s="945" t="s">
        <v>0</v>
      </c>
      <c r="E37" s="886">
        <f>400000</f>
        <v>400000</v>
      </c>
      <c r="F37" s="886">
        <f t="shared" ref="F37:G37" si="17">400000</f>
        <v>400000</v>
      </c>
      <c r="G37" s="906">
        <f t="shared" si="17"/>
        <v>400000</v>
      </c>
    </row>
    <row r="38" spans="1:7">
      <c r="A38" s="947">
        <v>3224</v>
      </c>
      <c r="B38" s="885" t="s">
        <v>31</v>
      </c>
      <c r="C38" s="943" t="s">
        <v>232</v>
      </c>
      <c r="D38" s="945" t="s">
        <v>0</v>
      </c>
      <c r="E38" s="886">
        <v>25000</v>
      </c>
      <c r="F38" s="886">
        <v>25000</v>
      </c>
      <c r="G38" s="906">
        <v>25000</v>
      </c>
    </row>
    <row r="39" spans="1:7">
      <c r="A39" s="947">
        <v>3225</v>
      </c>
      <c r="B39" s="885" t="s">
        <v>33</v>
      </c>
      <c r="C39" s="943" t="s">
        <v>232</v>
      </c>
      <c r="D39" s="945" t="s">
        <v>0</v>
      </c>
      <c r="E39" s="886">
        <v>30000</v>
      </c>
      <c r="F39" s="886">
        <v>30000</v>
      </c>
      <c r="G39" s="906">
        <v>30000</v>
      </c>
    </row>
    <row r="40" spans="1:7">
      <c r="A40" s="941">
        <v>323</v>
      </c>
      <c r="B40" s="942" t="s">
        <v>35</v>
      </c>
      <c r="C40" s="948" t="s">
        <v>232</v>
      </c>
      <c r="D40" s="949">
        <v>11</v>
      </c>
      <c r="E40" s="944">
        <f>E42+E43+E44+E46+E47+E48+E49+E50+E51</f>
        <v>4214000</v>
      </c>
      <c r="F40" s="944">
        <f>F42+F43+F44+F46+F47+F48+F49+F50+F51</f>
        <v>4554000</v>
      </c>
      <c r="G40" s="946">
        <f>G42+G43+G44+G46+G47+G48+G49+G50+G51</f>
        <v>4934000</v>
      </c>
    </row>
    <row r="41" spans="1:7">
      <c r="A41" s="941">
        <v>323</v>
      </c>
      <c r="B41" s="942" t="s">
        <v>35</v>
      </c>
      <c r="C41" s="948" t="s">
        <v>232</v>
      </c>
      <c r="D41" s="949" t="s">
        <v>235</v>
      </c>
      <c r="E41" s="944">
        <f>E45</f>
        <v>2590000</v>
      </c>
      <c r="F41" s="944">
        <f t="shared" ref="F41:G41" si="18">F45</f>
        <v>0</v>
      </c>
      <c r="G41" s="946">
        <f t="shared" si="18"/>
        <v>0</v>
      </c>
    </row>
    <row r="42" spans="1:7">
      <c r="A42" s="947">
        <v>3231</v>
      </c>
      <c r="B42" s="885" t="s">
        <v>37</v>
      </c>
      <c r="C42" s="943" t="s">
        <v>232</v>
      </c>
      <c r="D42" s="945" t="s">
        <v>0</v>
      </c>
      <c r="E42" s="886">
        <v>200000</v>
      </c>
      <c r="F42" s="886">
        <v>200000</v>
      </c>
      <c r="G42" s="906">
        <v>200000</v>
      </c>
    </row>
    <row r="43" spans="1:7">
      <c r="A43" s="947">
        <v>3232</v>
      </c>
      <c r="B43" s="885" t="s">
        <v>39</v>
      </c>
      <c r="C43" s="943" t="s">
        <v>232</v>
      </c>
      <c r="D43" s="945" t="s">
        <v>0</v>
      </c>
      <c r="E43" s="886">
        <f>750000</f>
        <v>750000</v>
      </c>
      <c r="F43" s="886">
        <f t="shared" ref="F43:G43" si="19">750000</f>
        <v>750000</v>
      </c>
      <c r="G43" s="906">
        <f t="shared" si="19"/>
        <v>750000</v>
      </c>
    </row>
    <row r="44" spans="1:7">
      <c r="A44" s="947">
        <v>3233</v>
      </c>
      <c r="B44" s="885" t="s">
        <v>41</v>
      </c>
      <c r="C44" s="943" t="s">
        <v>232</v>
      </c>
      <c r="D44" s="945" t="s">
        <v>0</v>
      </c>
      <c r="E44" s="886">
        <v>600000</v>
      </c>
      <c r="F44" s="886">
        <v>600000</v>
      </c>
      <c r="G44" s="906">
        <v>600000</v>
      </c>
    </row>
    <row r="45" spans="1:7">
      <c r="A45" s="947">
        <v>3233</v>
      </c>
      <c r="B45" s="885" t="s">
        <v>41</v>
      </c>
      <c r="C45" s="943" t="s">
        <v>232</v>
      </c>
      <c r="D45" s="945" t="s">
        <v>235</v>
      </c>
      <c r="E45" s="886">
        <v>2590000</v>
      </c>
      <c r="F45" s="886">
        <v>0</v>
      </c>
      <c r="G45" s="906">
        <v>0</v>
      </c>
    </row>
    <row r="46" spans="1:7">
      <c r="A46" s="947">
        <v>3234</v>
      </c>
      <c r="B46" s="885" t="s">
        <v>43</v>
      </c>
      <c r="C46" s="943" t="s">
        <v>232</v>
      </c>
      <c r="D46" s="945" t="s">
        <v>0</v>
      </c>
      <c r="E46" s="886">
        <f>200000+250000-250000</f>
        <v>200000</v>
      </c>
      <c r="F46" s="886">
        <f t="shared" ref="F46:G46" si="20">200000+250000-250000</f>
        <v>200000</v>
      </c>
      <c r="G46" s="906">
        <f t="shared" si="20"/>
        <v>200000</v>
      </c>
    </row>
    <row r="47" spans="1:7">
      <c r="A47" s="947">
        <v>3235</v>
      </c>
      <c r="B47" s="885" t="s">
        <v>45</v>
      </c>
      <c r="C47" s="943" t="s">
        <v>232</v>
      </c>
      <c r="D47" s="945" t="s">
        <v>0</v>
      </c>
      <c r="E47" s="886">
        <f>400000+310000+144000</f>
        <v>854000</v>
      </c>
      <c r="F47" s="886">
        <f>400000+310000+144000</f>
        <v>854000</v>
      </c>
      <c r="G47" s="906">
        <f>400000+310000+144000</f>
        <v>854000</v>
      </c>
    </row>
    <row r="48" spans="1:7">
      <c r="A48" s="947">
        <v>3236</v>
      </c>
      <c r="B48" s="885" t="s">
        <v>47</v>
      </c>
      <c r="C48" s="943" t="s">
        <v>232</v>
      </c>
      <c r="D48" s="945" t="s">
        <v>0</v>
      </c>
      <c r="E48" s="886">
        <v>90000</v>
      </c>
      <c r="F48" s="886">
        <v>30000</v>
      </c>
      <c r="G48" s="906">
        <v>110000</v>
      </c>
    </row>
    <row r="49" spans="1:7">
      <c r="A49" s="947">
        <v>3237</v>
      </c>
      <c r="B49" s="885" t="s">
        <v>49</v>
      </c>
      <c r="C49" s="943" t="s">
        <v>232</v>
      </c>
      <c r="D49" s="945" t="s">
        <v>0</v>
      </c>
      <c r="E49" s="886">
        <v>290000</v>
      </c>
      <c r="F49" s="886">
        <v>290000</v>
      </c>
      <c r="G49" s="906">
        <v>290000</v>
      </c>
    </row>
    <row r="50" spans="1:7">
      <c r="A50" s="947">
        <v>3238</v>
      </c>
      <c r="B50" s="885" t="s">
        <v>51</v>
      </c>
      <c r="C50" s="943" t="s">
        <v>232</v>
      </c>
      <c r="D50" s="945" t="s">
        <v>0</v>
      </c>
      <c r="E50" s="886">
        <v>800000</v>
      </c>
      <c r="F50" s="886">
        <v>1200000</v>
      </c>
      <c r="G50" s="906">
        <v>1500000</v>
      </c>
    </row>
    <row r="51" spans="1:7">
      <c r="A51" s="947">
        <v>3239</v>
      </c>
      <c r="B51" s="885" t="s">
        <v>53</v>
      </c>
      <c r="C51" s="943" t="s">
        <v>232</v>
      </c>
      <c r="D51" s="945" t="s">
        <v>0</v>
      </c>
      <c r="E51" s="886">
        <f>430000</f>
        <v>430000</v>
      </c>
      <c r="F51" s="886">
        <f t="shared" ref="F51:G51" si="21">430000</f>
        <v>430000</v>
      </c>
      <c r="G51" s="906">
        <f t="shared" si="21"/>
        <v>430000</v>
      </c>
    </row>
    <row r="52" spans="1:7">
      <c r="A52" s="941">
        <v>324</v>
      </c>
      <c r="B52" s="942" t="s">
        <v>55</v>
      </c>
      <c r="C52" s="948" t="s">
        <v>232</v>
      </c>
      <c r="D52" s="949" t="s">
        <v>0</v>
      </c>
      <c r="E52" s="944">
        <f t="shared" ref="E52:G52" si="22">SUM(E53)</f>
        <v>0</v>
      </c>
      <c r="F52" s="944">
        <f t="shared" si="22"/>
        <v>0</v>
      </c>
      <c r="G52" s="946">
        <f t="shared" si="22"/>
        <v>0</v>
      </c>
    </row>
    <row r="53" spans="1:7">
      <c r="A53" s="947">
        <v>3241</v>
      </c>
      <c r="B53" s="885" t="s">
        <v>55</v>
      </c>
      <c r="C53" s="943" t="s">
        <v>232</v>
      </c>
      <c r="D53" s="945" t="s">
        <v>0</v>
      </c>
      <c r="E53" s="886">
        <v>0</v>
      </c>
      <c r="F53" s="886">
        <v>0</v>
      </c>
      <c r="G53" s="906"/>
    </row>
    <row r="54" spans="1:7">
      <c r="A54" s="941">
        <v>329</v>
      </c>
      <c r="B54" s="942" t="s">
        <v>58</v>
      </c>
      <c r="C54" s="948" t="s">
        <v>232</v>
      </c>
      <c r="D54" s="951">
        <v>11</v>
      </c>
      <c r="E54" s="944">
        <f>SUM(E55:E61)</f>
        <v>631000</v>
      </c>
      <c r="F54" s="944">
        <f>SUM(F55:F61)</f>
        <v>636000</v>
      </c>
      <c r="G54" s="946">
        <f>SUM(G55:G61)</f>
        <v>636000</v>
      </c>
    </row>
    <row r="55" spans="1:7">
      <c r="A55" s="947">
        <v>3291</v>
      </c>
      <c r="B55" s="885" t="s">
        <v>60</v>
      </c>
      <c r="C55" s="943" t="s">
        <v>232</v>
      </c>
      <c r="D55" s="945" t="s">
        <v>0</v>
      </c>
      <c r="E55" s="886">
        <v>20000</v>
      </c>
      <c r="F55" s="886">
        <v>20000</v>
      </c>
      <c r="G55" s="906">
        <v>20000</v>
      </c>
    </row>
    <row r="56" spans="1:7">
      <c r="A56" s="947">
        <v>3292</v>
      </c>
      <c r="B56" s="885" t="s">
        <v>62</v>
      </c>
      <c r="C56" s="943" t="s">
        <v>232</v>
      </c>
      <c r="D56" s="945" t="s">
        <v>0</v>
      </c>
      <c r="E56" s="886">
        <v>50000</v>
      </c>
      <c r="F56" s="886">
        <v>50000</v>
      </c>
      <c r="G56" s="906">
        <v>50000</v>
      </c>
    </row>
    <row r="57" spans="1:7">
      <c r="A57" s="947">
        <v>3293</v>
      </c>
      <c r="B57" s="885" t="s">
        <v>64</v>
      </c>
      <c r="C57" s="943" t="s">
        <v>232</v>
      </c>
      <c r="D57" s="945" t="s">
        <v>0</v>
      </c>
      <c r="E57" s="886">
        <v>85000</v>
      </c>
      <c r="F57" s="886">
        <v>85000</v>
      </c>
      <c r="G57" s="906">
        <v>85000</v>
      </c>
    </row>
    <row r="58" spans="1:7">
      <c r="A58" s="947">
        <v>3294</v>
      </c>
      <c r="B58" s="885" t="s">
        <v>66</v>
      </c>
      <c r="C58" s="943" t="s">
        <v>232</v>
      </c>
      <c r="D58" s="945" t="s">
        <v>0</v>
      </c>
      <c r="E58" s="886">
        <v>82000</v>
      </c>
      <c r="F58" s="886">
        <v>82000</v>
      </c>
      <c r="G58" s="906">
        <v>82000</v>
      </c>
    </row>
    <row r="59" spans="1:7">
      <c r="A59" s="947">
        <v>3295</v>
      </c>
      <c r="B59" s="885" t="s">
        <v>68</v>
      </c>
      <c r="C59" s="943" t="s">
        <v>232</v>
      </c>
      <c r="D59" s="945" t="s">
        <v>0</v>
      </c>
      <c r="E59" s="886">
        <v>160000</v>
      </c>
      <c r="F59" s="886">
        <v>165000</v>
      </c>
      <c r="G59" s="906">
        <v>165000</v>
      </c>
    </row>
    <row r="60" spans="1:7">
      <c r="A60" s="905">
        <v>3296</v>
      </c>
      <c r="B60" s="885" t="s">
        <v>106</v>
      </c>
      <c r="C60" s="943" t="s">
        <v>232</v>
      </c>
      <c r="D60" s="945" t="s">
        <v>0</v>
      </c>
      <c r="E60" s="886">
        <v>150000</v>
      </c>
      <c r="F60" s="886">
        <v>150000</v>
      </c>
      <c r="G60" s="906">
        <v>150000</v>
      </c>
    </row>
    <row r="61" spans="1:7">
      <c r="A61" s="947">
        <v>3299</v>
      </c>
      <c r="B61" s="885" t="s">
        <v>58</v>
      </c>
      <c r="C61" s="943" t="s">
        <v>232</v>
      </c>
      <c r="D61" s="945" t="s">
        <v>0</v>
      </c>
      <c r="E61" s="886">
        <v>84000</v>
      </c>
      <c r="F61" s="886">
        <v>84000</v>
      </c>
      <c r="G61" s="906">
        <v>84000</v>
      </c>
    </row>
    <row r="62" spans="1:7">
      <c r="A62" s="935">
        <v>34</v>
      </c>
      <c r="B62" s="936" t="s">
        <v>478</v>
      </c>
      <c r="C62" s="937" t="s">
        <v>232</v>
      </c>
      <c r="D62" s="939">
        <v>11</v>
      </c>
      <c r="E62" s="938">
        <f t="shared" ref="E62:G62" si="23">E63</f>
        <v>8000</v>
      </c>
      <c r="F62" s="938">
        <f t="shared" si="23"/>
        <v>8000</v>
      </c>
      <c r="G62" s="940">
        <f t="shared" si="23"/>
        <v>8000</v>
      </c>
    </row>
    <row r="63" spans="1:7">
      <c r="A63" s="941">
        <v>343</v>
      </c>
      <c r="B63" s="942" t="s">
        <v>71</v>
      </c>
      <c r="C63" s="943" t="s">
        <v>232</v>
      </c>
      <c r="D63" s="945">
        <v>11</v>
      </c>
      <c r="E63" s="944">
        <f t="shared" ref="E63:F63" si="24">SUM(E64:E65)</f>
        <v>8000</v>
      </c>
      <c r="F63" s="944">
        <f t="shared" si="24"/>
        <v>8000</v>
      </c>
      <c r="G63" s="946">
        <f t="shared" ref="G63" si="25">SUM(G64:G65)</f>
        <v>8000</v>
      </c>
    </row>
    <row r="64" spans="1:7">
      <c r="A64" s="947">
        <v>3431</v>
      </c>
      <c r="B64" s="885" t="s">
        <v>73</v>
      </c>
      <c r="C64" s="943" t="s">
        <v>232</v>
      </c>
      <c r="D64" s="945" t="s">
        <v>0</v>
      </c>
      <c r="E64" s="886">
        <v>7000</v>
      </c>
      <c r="F64" s="886">
        <v>7000</v>
      </c>
      <c r="G64" s="906">
        <v>7000</v>
      </c>
    </row>
    <row r="65" spans="1:10">
      <c r="A65" s="905">
        <v>3433</v>
      </c>
      <c r="B65" s="885" t="s">
        <v>75</v>
      </c>
      <c r="C65" s="943" t="s">
        <v>232</v>
      </c>
      <c r="D65" s="945" t="s">
        <v>0</v>
      </c>
      <c r="E65" s="886">
        <v>1000</v>
      </c>
      <c r="F65" s="886">
        <v>1000</v>
      </c>
      <c r="G65" s="906">
        <v>1000</v>
      </c>
    </row>
    <row r="66" spans="1:10">
      <c r="A66" s="952">
        <v>-37</v>
      </c>
      <c r="B66" s="936" t="s">
        <v>540</v>
      </c>
      <c r="C66" s="953" t="s">
        <v>232</v>
      </c>
      <c r="D66" s="955" t="s">
        <v>272</v>
      </c>
      <c r="E66" s="954">
        <f>E67</f>
        <v>32000</v>
      </c>
      <c r="F66" s="954">
        <f t="shared" ref="F66:F70" si="26">F67</f>
        <v>0</v>
      </c>
      <c r="G66" s="956">
        <f>G67</f>
        <v>0</v>
      </c>
    </row>
    <row r="67" spans="1:10">
      <c r="A67" s="957">
        <v>372</v>
      </c>
      <c r="B67" s="942" t="s">
        <v>440</v>
      </c>
      <c r="C67" s="948" t="s">
        <v>232</v>
      </c>
      <c r="D67" s="949" t="s">
        <v>272</v>
      </c>
      <c r="E67" s="958">
        <f>E68</f>
        <v>32000</v>
      </c>
      <c r="F67" s="958">
        <f t="shared" si="26"/>
        <v>0</v>
      </c>
      <c r="G67" s="959">
        <v>0</v>
      </c>
    </row>
    <row r="68" spans="1:10">
      <c r="A68" s="905">
        <v>3721</v>
      </c>
      <c r="B68" s="885" t="s">
        <v>175</v>
      </c>
      <c r="C68" s="943" t="s">
        <v>232</v>
      </c>
      <c r="D68" s="945" t="s">
        <v>272</v>
      </c>
      <c r="E68" s="886">
        <v>32000</v>
      </c>
      <c r="F68" s="886">
        <v>0</v>
      </c>
      <c r="G68" s="906">
        <v>0</v>
      </c>
    </row>
    <row r="69" spans="1:10">
      <c r="A69" s="952">
        <v>-37</v>
      </c>
      <c r="B69" s="936" t="s">
        <v>540</v>
      </c>
      <c r="C69" s="953" t="s">
        <v>232</v>
      </c>
      <c r="D69" s="955" t="s">
        <v>0</v>
      </c>
      <c r="E69" s="954">
        <f>E70</f>
        <v>27000</v>
      </c>
      <c r="F69" s="954">
        <f t="shared" ref="F69:G69" si="27">F70</f>
        <v>0</v>
      </c>
      <c r="G69" s="956">
        <f t="shared" si="27"/>
        <v>0</v>
      </c>
    </row>
    <row r="70" spans="1:10">
      <c r="A70" s="905">
        <v>372</v>
      </c>
      <c r="B70" s="885" t="s">
        <v>440</v>
      </c>
      <c r="C70" s="943" t="s">
        <v>232</v>
      </c>
      <c r="D70" s="945" t="s">
        <v>0</v>
      </c>
      <c r="E70" s="886">
        <f>E71</f>
        <v>27000</v>
      </c>
      <c r="F70" s="886">
        <f t="shared" si="26"/>
        <v>0</v>
      </c>
      <c r="G70" s="906">
        <v>0</v>
      </c>
    </row>
    <row r="71" spans="1:10">
      <c r="A71" s="905">
        <v>3721</v>
      </c>
      <c r="B71" s="885" t="s">
        <v>175</v>
      </c>
      <c r="C71" s="943" t="s">
        <v>232</v>
      </c>
      <c r="D71" s="945" t="s">
        <v>0</v>
      </c>
      <c r="E71" s="886">
        <v>27000</v>
      </c>
      <c r="F71" s="886">
        <v>0</v>
      </c>
      <c r="G71" s="906">
        <v>0</v>
      </c>
    </row>
    <row r="72" spans="1:10">
      <c r="A72" s="935">
        <v>41</v>
      </c>
      <c r="B72" s="936" t="s">
        <v>479</v>
      </c>
      <c r="C72" s="937" t="s">
        <v>232</v>
      </c>
      <c r="D72" s="939">
        <v>11</v>
      </c>
      <c r="E72" s="938">
        <f>E73</f>
        <v>150000</v>
      </c>
      <c r="F72" s="938">
        <f t="shared" ref="F72:G72" si="28">F73</f>
        <v>150000</v>
      </c>
      <c r="G72" s="940">
        <f t="shared" si="28"/>
        <v>150000</v>
      </c>
    </row>
    <row r="73" spans="1:10">
      <c r="A73" s="941">
        <v>412</v>
      </c>
      <c r="B73" s="942" t="s">
        <v>84</v>
      </c>
      <c r="C73" s="948" t="s">
        <v>232</v>
      </c>
      <c r="D73" s="949" t="s">
        <v>0</v>
      </c>
      <c r="E73" s="958">
        <f t="shared" ref="E73:G73" si="29">SUM(E74)</f>
        <v>150000</v>
      </c>
      <c r="F73" s="958">
        <f t="shared" si="29"/>
        <v>150000</v>
      </c>
      <c r="G73" s="959">
        <f t="shared" si="29"/>
        <v>150000</v>
      </c>
    </row>
    <row r="74" spans="1:10">
      <c r="A74" s="947">
        <v>4123</v>
      </c>
      <c r="B74" s="885" t="s">
        <v>86</v>
      </c>
      <c r="C74" s="943" t="s">
        <v>232</v>
      </c>
      <c r="D74" s="945" t="s">
        <v>0</v>
      </c>
      <c r="E74" s="886">
        <v>150000</v>
      </c>
      <c r="F74" s="886">
        <v>150000</v>
      </c>
      <c r="G74" s="906">
        <v>150000</v>
      </c>
    </row>
    <row r="75" spans="1:10">
      <c r="A75" s="935">
        <v>42</v>
      </c>
      <c r="B75" s="936" t="s">
        <v>480</v>
      </c>
      <c r="C75" s="937" t="s">
        <v>232</v>
      </c>
      <c r="D75" s="939">
        <v>11</v>
      </c>
      <c r="E75" s="938">
        <f t="shared" ref="E75:F75" si="30">E76+E81</f>
        <v>460000</v>
      </c>
      <c r="F75" s="938">
        <f t="shared" si="30"/>
        <v>450000</v>
      </c>
      <c r="G75" s="940">
        <f t="shared" ref="G75" si="31">G76+G81</f>
        <v>450000</v>
      </c>
    </row>
    <row r="76" spans="1:10">
      <c r="A76" s="941">
        <v>422</v>
      </c>
      <c r="B76" s="942" t="s">
        <v>89</v>
      </c>
      <c r="C76" s="948" t="s">
        <v>232</v>
      </c>
      <c r="D76" s="949" t="s">
        <v>0</v>
      </c>
      <c r="E76" s="958">
        <f t="shared" ref="E76:F76" si="32">SUM(E77:E80)</f>
        <v>260000</v>
      </c>
      <c r="F76" s="958">
        <f t="shared" si="32"/>
        <v>250000</v>
      </c>
      <c r="G76" s="959">
        <f t="shared" ref="G76" si="33">SUM(G77:G80)</f>
        <v>250000</v>
      </c>
    </row>
    <row r="77" spans="1:10">
      <c r="A77" s="947">
        <v>4221</v>
      </c>
      <c r="B77" s="885" t="s">
        <v>91</v>
      </c>
      <c r="C77" s="943" t="s">
        <v>232</v>
      </c>
      <c r="D77" s="945" t="s">
        <v>0</v>
      </c>
      <c r="E77" s="886">
        <v>200000</v>
      </c>
      <c r="F77" s="886">
        <v>200000</v>
      </c>
      <c r="G77" s="906">
        <v>200000</v>
      </c>
      <c r="H77" s="22"/>
      <c r="I77" s="22"/>
      <c r="J77" s="22"/>
    </row>
    <row r="78" spans="1:10">
      <c r="A78" s="947">
        <v>4222</v>
      </c>
      <c r="B78" s="885" t="s">
        <v>93</v>
      </c>
      <c r="C78" s="943" t="s">
        <v>232</v>
      </c>
      <c r="D78" s="945" t="s">
        <v>0</v>
      </c>
      <c r="E78" s="886">
        <v>20000</v>
      </c>
      <c r="F78" s="886">
        <v>20000</v>
      </c>
      <c r="G78" s="906">
        <v>20000</v>
      </c>
    </row>
    <row r="79" spans="1:10">
      <c r="A79" s="905">
        <v>4223</v>
      </c>
      <c r="B79" s="885" t="s">
        <v>95</v>
      </c>
      <c r="C79" s="943" t="s">
        <v>232</v>
      </c>
      <c r="D79" s="945" t="s">
        <v>0</v>
      </c>
      <c r="E79" s="886">
        <v>20000</v>
      </c>
      <c r="F79" s="886">
        <v>20000</v>
      </c>
      <c r="G79" s="906">
        <v>20000</v>
      </c>
    </row>
    <row r="80" spans="1:10">
      <c r="A80" s="905">
        <v>4225</v>
      </c>
      <c r="B80" s="885" t="s">
        <v>97</v>
      </c>
      <c r="C80" s="943" t="s">
        <v>232</v>
      </c>
      <c r="D80" s="945" t="s">
        <v>0</v>
      </c>
      <c r="E80" s="886">
        <v>20000</v>
      </c>
      <c r="F80" s="886">
        <v>10000</v>
      </c>
      <c r="G80" s="906">
        <v>10000</v>
      </c>
    </row>
    <row r="81" spans="1:10">
      <c r="A81" s="957">
        <v>426</v>
      </c>
      <c r="B81" s="942" t="s">
        <v>181</v>
      </c>
      <c r="C81" s="948" t="s">
        <v>232</v>
      </c>
      <c r="D81" s="949" t="s">
        <v>0</v>
      </c>
      <c r="E81" s="958">
        <f t="shared" ref="E81:G81" si="34">SUM(E82)</f>
        <v>200000</v>
      </c>
      <c r="F81" s="958">
        <f t="shared" si="34"/>
        <v>200000</v>
      </c>
      <c r="G81" s="959">
        <f t="shared" si="34"/>
        <v>200000</v>
      </c>
    </row>
    <row r="82" spans="1:10">
      <c r="A82" s="905">
        <v>4262</v>
      </c>
      <c r="B82" s="885" t="s">
        <v>182</v>
      </c>
      <c r="C82" s="943" t="s">
        <v>232</v>
      </c>
      <c r="D82" s="945" t="s">
        <v>0</v>
      </c>
      <c r="E82" s="886">
        <v>200000</v>
      </c>
      <c r="F82" s="886">
        <v>200000</v>
      </c>
      <c r="G82" s="906">
        <v>200000</v>
      </c>
    </row>
    <row r="83" spans="1:10">
      <c r="A83" s="930" t="s">
        <v>383</v>
      </c>
      <c r="B83" s="931" t="s">
        <v>346</v>
      </c>
      <c r="C83" s="932" t="s">
        <v>232</v>
      </c>
      <c r="D83" s="933"/>
      <c r="E83" s="933">
        <f t="shared" ref="E83:F83" si="35">E85</f>
        <v>80000000</v>
      </c>
      <c r="F83" s="933">
        <f t="shared" si="35"/>
        <v>80000000</v>
      </c>
      <c r="G83" s="934">
        <f t="shared" ref="G83" si="36">G85</f>
        <v>80000000</v>
      </c>
    </row>
    <row r="84" spans="1:10">
      <c r="A84" s="935">
        <v>51</v>
      </c>
      <c r="B84" s="936" t="s">
        <v>482</v>
      </c>
      <c r="C84" s="937" t="s">
        <v>232</v>
      </c>
      <c r="D84" s="939">
        <v>11</v>
      </c>
      <c r="E84" s="938">
        <f t="shared" ref="E84:G84" si="37">E85</f>
        <v>80000000</v>
      </c>
      <c r="F84" s="938">
        <f t="shared" si="37"/>
        <v>80000000</v>
      </c>
      <c r="G84" s="940">
        <f t="shared" si="37"/>
        <v>80000000</v>
      </c>
    </row>
    <row r="85" spans="1:10">
      <c r="A85" s="941">
        <v>516</v>
      </c>
      <c r="B85" s="942" t="s">
        <v>343</v>
      </c>
      <c r="C85" s="945" t="s">
        <v>232</v>
      </c>
      <c r="D85" s="945">
        <v>11</v>
      </c>
      <c r="E85" s="958">
        <f t="shared" ref="E85:F85" si="38">SUM(E86:E87)</f>
        <v>80000000</v>
      </c>
      <c r="F85" s="958">
        <f t="shared" si="38"/>
        <v>80000000</v>
      </c>
      <c r="G85" s="959">
        <f t="shared" ref="G85" si="39">SUM(G86:G87)</f>
        <v>80000000</v>
      </c>
    </row>
    <row r="86" spans="1:10">
      <c r="A86" s="905">
        <v>5163</v>
      </c>
      <c r="B86" s="885" t="s">
        <v>344</v>
      </c>
      <c r="C86" s="945" t="s">
        <v>232</v>
      </c>
      <c r="D86" s="945" t="s">
        <v>0</v>
      </c>
      <c r="E86" s="886">
        <v>50000000</v>
      </c>
      <c r="F86" s="886">
        <v>50000000</v>
      </c>
      <c r="G86" s="906">
        <v>50000000</v>
      </c>
    </row>
    <row r="87" spans="1:10">
      <c r="A87" s="905">
        <v>5164</v>
      </c>
      <c r="B87" s="885" t="s">
        <v>345</v>
      </c>
      <c r="C87" s="945" t="s">
        <v>232</v>
      </c>
      <c r="D87" s="945" t="s">
        <v>0</v>
      </c>
      <c r="E87" s="886">
        <v>30000000</v>
      </c>
      <c r="F87" s="886">
        <v>30000000</v>
      </c>
      <c r="G87" s="906">
        <v>30000000</v>
      </c>
    </row>
    <row r="88" spans="1:10">
      <c r="A88" s="930" t="s">
        <v>384</v>
      </c>
      <c r="B88" s="931" t="s">
        <v>358</v>
      </c>
      <c r="C88" s="932" t="s">
        <v>232</v>
      </c>
      <c r="D88" s="933"/>
      <c r="E88" s="933">
        <f>E89+E90+E105+E106+E149+E150+E155+E156+E161+E162</f>
        <v>50954484</v>
      </c>
      <c r="F88" s="933">
        <f>F89+F90+F105+F106+F149+F150+F155+F156+F161+F162</f>
        <v>47160142</v>
      </c>
      <c r="G88" s="934">
        <f>G89+G90+G105+G106+G149+G150+G155+G156+G161+G162</f>
        <v>46237507</v>
      </c>
    </row>
    <row r="89" spans="1:10">
      <c r="A89" s="935">
        <v>31</v>
      </c>
      <c r="B89" s="936" t="s">
        <v>474</v>
      </c>
      <c r="C89" s="937" t="s">
        <v>232</v>
      </c>
      <c r="D89" s="939">
        <v>12</v>
      </c>
      <c r="E89" s="938">
        <f>E91+E97+E101</f>
        <v>5541130</v>
      </c>
      <c r="F89" s="938">
        <f t="shared" ref="F89" si="40">F91+F97+F101</f>
        <v>5580730</v>
      </c>
      <c r="G89" s="940">
        <f t="shared" ref="G89" si="41">G91+G97+G101</f>
        <v>5605330</v>
      </c>
      <c r="H89" s="22"/>
      <c r="I89" s="22"/>
      <c r="J89" s="22"/>
    </row>
    <row r="90" spans="1:10">
      <c r="A90" s="935">
        <v>31</v>
      </c>
      <c r="B90" s="936" t="s">
        <v>474</v>
      </c>
      <c r="C90" s="937" t="s">
        <v>232</v>
      </c>
      <c r="D90" s="939">
        <v>563</v>
      </c>
      <c r="E90" s="938">
        <f>E92+E98+E102</f>
        <v>31395570</v>
      </c>
      <c r="F90" s="938">
        <f t="shared" ref="F90" si="42">F92+F98+F102</f>
        <v>31621570</v>
      </c>
      <c r="G90" s="940">
        <f t="shared" ref="G90" si="43">G92+G98+G102</f>
        <v>31762570</v>
      </c>
      <c r="H90" s="22"/>
      <c r="I90" s="22"/>
      <c r="J90" s="22"/>
    </row>
    <row r="91" spans="1:10">
      <c r="A91" s="941">
        <v>311</v>
      </c>
      <c r="B91" s="942" t="s">
        <v>2</v>
      </c>
      <c r="C91" s="948" t="s">
        <v>232</v>
      </c>
      <c r="D91" s="948">
        <v>12</v>
      </c>
      <c r="E91" s="944">
        <f>E93+E95</f>
        <v>4295000</v>
      </c>
      <c r="F91" s="944">
        <f t="shared" ref="F91" si="44">F93+F95</f>
        <v>4316000</v>
      </c>
      <c r="G91" s="946">
        <f t="shared" ref="G91" si="45">G93+G95</f>
        <v>4337000</v>
      </c>
    </row>
    <row r="92" spans="1:10">
      <c r="A92" s="941">
        <v>311</v>
      </c>
      <c r="B92" s="942" t="s">
        <v>2</v>
      </c>
      <c r="C92" s="948" t="s">
        <v>232</v>
      </c>
      <c r="D92" s="948">
        <v>563</v>
      </c>
      <c r="E92" s="944">
        <f>E94+E96</f>
        <v>24335000</v>
      </c>
      <c r="F92" s="944">
        <f t="shared" ref="F92" si="46">F94+F96</f>
        <v>24457000</v>
      </c>
      <c r="G92" s="946">
        <f t="shared" ref="G92" si="47">G94+G96</f>
        <v>24578000</v>
      </c>
    </row>
    <row r="93" spans="1:10">
      <c r="A93" s="947">
        <v>3111</v>
      </c>
      <c r="B93" s="885" t="s">
        <v>4</v>
      </c>
      <c r="C93" s="943" t="s">
        <v>232</v>
      </c>
      <c r="D93" s="943" t="s">
        <v>82</v>
      </c>
      <c r="E93" s="960">
        <v>4280000</v>
      </c>
      <c r="F93" s="960">
        <v>4301000</v>
      </c>
      <c r="G93" s="961">
        <v>4322000</v>
      </c>
      <c r="H93" s="22"/>
    </row>
    <row r="94" spans="1:10">
      <c r="A94" s="947">
        <v>3111</v>
      </c>
      <c r="B94" s="885" t="s">
        <v>4</v>
      </c>
      <c r="C94" s="943" t="s">
        <v>232</v>
      </c>
      <c r="D94" s="943" t="s">
        <v>234</v>
      </c>
      <c r="E94" s="960">
        <v>24250000</v>
      </c>
      <c r="F94" s="960">
        <v>24372000</v>
      </c>
      <c r="G94" s="961">
        <v>24493000</v>
      </c>
      <c r="H94" s="22"/>
    </row>
    <row r="95" spans="1:10">
      <c r="A95" s="962">
        <v>3113</v>
      </c>
      <c r="B95" s="963" t="s">
        <v>6</v>
      </c>
      <c r="C95" s="943" t="s">
        <v>232</v>
      </c>
      <c r="D95" s="943" t="s">
        <v>82</v>
      </c>
      <c r="E95" s="960">
        <v>15000</v>
      </c>
      <c r="F95" s="960">
        <v>15000</v>
      </c>
      <c r="G95" s="961">
        <v>15000</v>
      </c>
    </row>
    <row r="96" spans="1:10">
      <c r="A96" s="962">
        <v>3113</v>
      </c>
      <c r="B96" s="963" t="s">
        <v>6</v>
      </c>
      <c r="C96" s="943" t="s">
        <v>232</v>
      </c>
      <c r="D96" s="943" t="s">
        <v>234</v>
      </c>
      <c r="E96" s="960">
        <v>85000</v>
      </c>
      <c r="F96" s="960">
        <v>85000</v>
      </c>
      <c r="G96" s="961">
        <v>85000</v>
      </c>
      <c r="H96" s="22"/>
    </row>
    <row r="97" spans="1:8">
      <c r="A97" s="941">
        <v>312</v>
      </c>
      <c r="B97" s="942" t="s">
        <v>8</v>
      </c>
      <c r="C97" s="943" t="s">
        <v>232</v>
      </c>
      <c r="D97" s="948">
        <v>12</v>
      </c>
      <c r="E97" s="944">
        <f>E99</f>
        <v>476280</v>
      </c>
      <c r="F97" s="944">
        <f t="shared" ref="F97" si="48">F99</f>
        <v>491280</v>
      </c>
      <c r="G97" s="946">
        <f t="shared" ref="G97" si="49">G99</f>
        <v>491280</v>
      </c>
      <c r="H97" s="22"/>
    </row>
    <row r="98" spans="1:8">
      <c r="A98" s="941">
        <v>312</v>
      </c>
      <c r="B98" s="942" t="s">
        <v>8</v>
      </c>
      <c r="C98" s="943" t="s">
        <v>232</v>
      </c>
      <c r="D98" s="948">
        <v>563</v>
      </c>
      <c r="E98" s="944">
        <f>E100</f>
        <v>2698920</v>
      </c>
      <c r="F98" s="944">
        <f t="shared" ref="F98" si="50">F100</f>
        <v>2783920</v>
      </c>
      <c r="G98" s="946">
        <f t="shared" ref="G98" si="51">G100</f>
        <v>2783920</v>
      </c>
    </row>
    <row r="99" spans="1:8">
      <c r="A99" s="947">
        <v>3121</v>
      </c>
      <c r="B99" s="885" t="s">
        <v>8</v>
      </c>
      <c r="C99" s="943" t="s">
        <v>232</v>
      </c>
      <c r="D99" s="943" t="s">
        <v>82</v>
      </c>
      <c r="E99" s="960">
        <v>476280</v>
      </c>
      <c r="F99" s="960">
        <v>491280</v>
      </c>
      <c r="G99" s="961">
        <v>491280</v>
      </c>
      <c r="H99" s="22"/>
    </row>
    <row r="100" spans="1:8">
      <c r="A100" s="947">
        <v>3121</v>
      </c>
      <c r="B100" s="885" t="s">
        <v>8</v>
      </c>
      <c r="C100" s="943" t="s">
        <v>232</v>
      </c>
      <c r="D100" s="943" t="s">
        <v>234</v>
      </c>
      <c r="E100" s="960">
        <v>2698920</v>
      </c>
      <c r="F100" s="960">
        <v>2783920</v>
      </c>
      <c r="G100" s="961">
        <v>2783920</v>
      </c>
      <c r="H100" s="22"/>
    </row>
    <row r="101" spans="1:8">
      <c r="A101" s="941">
        <v>313</v>
      </c>
      <c r="B101" s="942" t="s">
        <v>11</v>
      </c>
      <c r="C101" s="943" t="s">
        <v>232</v>
      </c>
      <c r="D101" s="948">
        <v>12</v>
      </c>
      <c r="E101" s="944">
        <f>E103</f>
        <v>769850</v>
      </c>
      <c r="F101" s="944">
        <f t="shared" ref="F101:G101" si="52">F103</f>
        <v>773450</v>
      </c>
      <c r="G101" s="946">
        <f t="shared" si="52"/>
        <v>777050</v>
      </c>
      <c r="H101" s="22"/>
    </row>
    <row r="102" spans="1:8">
      <c r="A102" s="941">
        <v>313</v>
      </c>
      <c r="B102" s="942" t="s">
        <v>11</v>
      </c>
      <c r="C102" s="943" t="s">
        <v>232</v>
      </c>
      <c r="D102" s="948">
        <v>563</v>
      </c>
      <c r="E102" s="944">
        <f>E104</f>
        <v>4361650</v>
      </c>
      <c r="F102" s="944">
        <f t="shared" ref="F102:G102" si="53">F104</f>
        <v>4380650</v>
      </c>
      <c r="G102" s="946">
        <f t="shared" si="53"/>
        <v>4400650</v>
      </c>
    </row>
    <row r="103" spans="1:8">
      <c r="A103" s="947">
        <v>3132</v>
      </c>
      <c r="B103" s="885" t="s">
        <v>13</v>
      </c>
      <c r="C103" s="943" t="s">
        <v>232</v>
      </c>
      <c r="D103" s="943" t="s">
        <v>82</v>
      </c>
      <c r="E103" s="960">
        <f>705500+64350</f>
        <v>769850</v>
      </c>
      <c r="F103" s="960">
        <f>709100+64350</f>
        <v>773450</v>
      </c>
      <c r="G103" s="961">
        <f>712700+64350</f>
        <v>777050</v>
      </c>
    </row>
    <row r="104" spans="1:8">
      <c r="A104" s="947">
        <v>3132</v>
      </c>
      <c r="B104" s="885" t="s">
        <v>13</v>
      </c>
      <c r="C104" s="943" t="s">
        <v>232</v>
      </c>
      <c r="D104" s="943" t="s">
        <v>234</v>
      </c>
      <c r="E104" s="960">
        <f>3997000+364650</f>
        <v>4361650</v>
      </c>
      <c r="F104" s="960">
        <f>4016000+364650</f>
        <v>4380650</v>
      </c>
      <c r="G104" s="961">
        <f>4036000+364650</f>
        <v>4400650</v>
      </c>
    </row>
    <row r="105" spans="1:8">
      <c r="A105" s="935">
        <v>32</v>
      </c>
      <c r="B105" s="936" t="s">
        <v>476</v>
      </c>
      <c r="C105" s="937" t="s">
        <v>232</v>
      </c>
      <c r="D105" s="939">
        <v>12</v>
      </c>
      <c r="E105" s="938">
        <f>E107+E117+E127+E145</f>
        <v>2029430</v>
      </c>
      <c r="F105" s="938">
        <f t="shared" ref="F105:G105" si="54">F107+F117+F127+F145</f>
        <v>1467203</v>
      </c>
      <c r="G105" s="940">
        <f t="shared" si="54"/>
        <v>1333968</v>
      </c>
    </row>
    <row r="106" spans="1:8">
      <c r="A106" s="935">
        <v>32</v>
      </c>
      <c r="B106" s="936" t="s">
        <v>476</v>
      </c>
      <c r="C106" s="937" t="s">
        <v>232</v>
      </c>
      <c r="D106" s="939">
        <v>563</v>
      </c>
      <c r="E106" s="938">
        <f>E108+E118+E128+E146</f>
        <v>11206000</v>
      </c>
      <c r="F106" s="938">
        <f t="shared" ref="F106:G106" si="55">F108+F118+F128+F146</f>
        <v>8020050</v>
      </c>
      <c r="G106" s="940">
        <f t="shared" si="55"/>
        <v>7265050</v>
      </c>
    </row>
    <row r="107" spans="1:8">
      <c r="A107" s="941">
        <v>321</v>
      </c>
      <c r="B107" s="942" t="s">
        <v>17</v>
      </c>
      <c r="C107" s="943" t="s">
        <v>232</v>
      </c>
      <c r="D107" s="948">
        <v>12</v>
      </c>
      <c r="E107" s="944">
        <f>E109+E111+E113+E115</f>
        <v>353276</v>
      </c>
      <c r="F107" s="944">
        <f t="shared" ref="F107" si="56">F109+F111+F113+F115</f>
        <v>353276</v>
      </c>
      <c r="G107" s="946">
        <f t="shared" ref="G107" si="57">G109+G111+G113+G115</f>
        <v>353276</v>
      </c>
    </row>
    <row r="108" spans="1:8">
      <c r="A108" s="941">
        <v>321</v>
      </c>
      <c r="B108" s="942" t="s">
        <v>17</v>
      </c>
      <c r="C108" s="943" t="s">
        <v>232</v>
      </c>
      <c r="D108" s="948">
        <v>563</v>
      </c>
      <c r="E108" s="944">
        <f>E110+E112+E114+E116</f>
        <v>2002000</v>
      </c>
      <c r="F108" s="944">
        <f t="shared" ref="F108" si="58">F110+F112+F114+F116</f>
        <v>2002000</v>
      </c>
      <c r="G108" s="946">
        <f t="shared" ref="G108" si="59">G110+G112+G114+G116</f>
        <v>2002000</v>
      </c>
    </row>
    <row r="109" spans="1:8">
      <c r="A109" s="947">
        <v>3211</v>
      </c>
      <c r="B109" s="885" t="s">
        <v>19</v>
      </c>
      <c r="C109" s="943" t="s">
        <v>232</v>
      </c>
      <c r="D109" s="943" t="s">
        <v>82</v>
      </c>
      <c r="E109" s="960">
        <v>70588</v>
      </c>
      <c r="F109" s="960">
        <v>70588</v>
      </c>
      <c r="G109" s="961">
        <v>70588</v>
      </c>
    </row>
    <row r="110" spans="1:8">
      <c r="A110" s="947">
        <v>3211</v>
      </c>
      <c r="B110" s="885" t="s">
        <v>19</v>
      </c>
      <c r="C110" s="943" t="s">
        <v>232</v>
      </c>
      <c r="D110" s="943" t="s">
        <v>234</v>
      </c>
      <c r="E110" s="960">
        <v>400000</v>
      </c>
      <c r="F110" s="960">
        <v>400000</v>
      </c>
      <c r="G110" s="961">
        <v>400000</v>
      </c>
    </row>
    <row r="111" spans="1:8">
      <c r="A111" s="947">
        <v>3212</v>
      </c>
      <c r="B111" s="885" t="s">
        <v>21</v>
      </c>
      <c r="C111" s="943" t="s">
        <v>232</v>
      </c>
      <c r="D111" s="943" t="s">
        <v>82</v>
      </c>
      <c r="E111" s="960">
        <v>227100</v>
      </c>
      <c r="F111" s="960">
        <v>227100</v>
      </c>
      <c r="G111" s="961">
        <v>227100</v>
      </c>
    </row>
    <row r="112" spans="1:8">
      <c r="A112" s="947">
        <v>3212</v>
      </c>
      <c r="B112" s="885" t="s">
        <v>21</v>
      </c>
      <c r="C112" s="943" t="s">
        <v>232</v>
      </c>
      <c r="D112" s="943" t="s">
        <v>234</v>
      </c>
      <c r="E112" s="960">
        <v>1287000</v>
      </c>
      <c r="F112" s="960">
        <v>1287000</v>
      </c>
      <c r="G112" s="961">
        <v>1287000</v>
      </c>
    </row>
    <row r="113" spans="1:7">
      <c r="A113" s="947">
        <v>3213</v>
      </c>
      <c r="B113" s="885" t="s">
        <v>23</v>
      </c>
      <c r="C113" s="943" t="s">
        <v>232</v>
      </c>
      <c r="D113" s="943" t="s">
        <v>82</v>
      </c>
      <c r="E113" s="960">
        <v>52941</v>
      </c>
      <c r="F113" s="960">
        <v>52941</v>
      </c>
      <c r="G113" s="961">
        <v>52941</v>
      </c>
    </row>
    <row r="114" spans="1:7">
      <c r="A114" s="947">
        <v>3213</v>
      </c>
      <c r="B114" s="885" t="s">
        <v>23</v>
      </c>
      <c r="C114" s="943" t="s">
        <v>232</v>
      </c>
      <c r="D114" s="943" t="s">
        <v>234</v>
      </c>
      <c r="E114" s="960">
        <v>300000</v>
      </c>
      <c r="F114" s="960">
        <v>300000</v>
      </c>
      <c r="G114" s="961">
        <v>300000</v>
      </c>
    </row>
    <row r="115" spans="1:7">
      <c r="A115" s="905">
        <v>3214</v>
      </c>
      <c r="B115" s="885" t="s">
        <v>162</v>
      </c>
      <c r="C115" s="943" t="s">
        <v>232</v>
      </c>
      <c r="D115" s="943" t="s">
        <v>82</v>
      </c>
      <c r="E115" s="960">
        <v>2647</v>
      </c>
      <c r="F115" s="960">
        <v>2647</v>
      </c>
      <c r="G115" s="961">
        <v>2647</v>
      </c>
    </row>
    <row r="116" spans="1:7">
      <c r="A116" s="905">
        <v>3214</v>
      </c>
      <c r="B116" s="885" t="s">
        <v>162</v>
      </c>
      <c r="C116" s="943" t="s">
        <v>232</v>
      </c>
      <c r="D116" s="943" t="s">
        <v>234</v>
      </c>
      <c r="E116" s="960">
        <v>15000</v>
      </c>
      <c r="F116" s="960">
        <v>15000</v>
      </c>
      <c r="G116" s="961">
        <v>15000</v>
      </c>
    </row>
    <row r="117" spans="1:7">
      <c r="A117" s="941">
        <v>322</v>
      </c>
      <c r="B117" s="942" t="s">
        <v>25</v>
      </c>
      <c r="C117" s="943" t="s">
        <v>232</v>
      </c>
      <c r="D117" s="948" t="s">
        <v>82</v>
      </c>
      <c r="E117" s="944">
        <f>E119+E121+E125+E123</f>
        <v>205024</v>
      </c>
      <c r="F117" s="944">
        <f t="shared" ref="F117" si="60">F119+F121+F125+F123</f>
        <v>205024</v>
      </c>
      <c r="G117" s="946">
        <f t="shared" ref="G117" si="61">G119+G121+G125+G123</f>
        <v>205024</v>
      </c>
    </row>
    <row r="118" spans="1:7">
      <c r="A118" s="941">
        <v>322</v>
      </c>
      <c r="B118" s="942" t="s">
        <v>25</v>
      </c>
      <c r="C118" s="943" t="s">
        <v>232</v>
      </c>
      <c r="D118" s="948" t="s">
        <v>234</v>
      </c>
      <c r="E118" s="944">
        <f>E120+E122+E126+E124</f>
        <v>907000</v>
      </c>
      <c r="F118" s="944">
        <f t="shared" ref="F118" si="62">F120+F122+F126+F124</f>
        <v>907000</v>
      </c>
      <c r="G118" s="946">
        <f t="shared" ref="G118" si="63">G120+G122+G126+G124</f>
        <v>907000</v>
      </c>
    </row>
    <row r="119" spans="1:7">
      <c r="A119" s="947">
        <v>3221</v>
      </c>
      <c r="B119" s="885" t="s">
        <v>27</v>
      </c>
      <c r="C119" s="943" t="s">
        <v>232</v>
      </c>
      <c r="D119" s="943" t="s">
        <v>82</v>
      </c>
      <c r="E119" s="960">
        <v>46200</v>
      </c>
      <c r="F119" s="960">
        <v>46200</v>
      </c>
      <c r="G119" s="961">
        <v>46200</v>
      </c>
    </row>
    <row r="120" spans="1:7">
      <c r="A120" s="947">
        <v>3221</v>
      </c>
      <c r="B120" s="885" t="s">
        <v>27</v>
      </c>
      <c r="C120" s="943" t="s">
        <v>232</v>
      </c>
      <c r="D120" s="943" t="s">
        <v>234</v>
      </c>
      <c r="E120" s="960">
        <v>262000</v>
      </c>
      <c r="F120" s="960">
        <v>262000</v>
      </c>
      <c r="G120" s="961">
        <v>262000</v>
      </c>
    </row>
    <row r="121" spans="1:7">
      <c r="A121" s="947">
        <v>3223</v>
      </c>
      <c r="B121" s="950" t="s">
        <v>29</v>
      </c>
      <c r="C121" s="943" t="s">
        <v>232</v>
      </c>
      <c r="D121" s="943" t="s">
        <v>82</v>
      </c>
      <c r="E121" s="960">
        <v>150000</v>
      </c>
      <c r="F121" s="960">
        <v>150000</v>
      </c>
      <c r="G121" s="961">
        <v>150000</v>
      </c>
    </row>
    <row r="122" spans="1:7">
      <c r="A122" s="947">
        <v>3223</v>
      </c>
      <c r="B122" s="950" t="s">
        <v>29</v>
      </c>
      <c r="C122" s="943" t="s">
        <v>232</v>
      </c>
      <c r="D122" s="943" t="s">
        <v>234</v>
      </c>
      <c r="E122" s="960">
        <v>595000</v>
      </c>
      <c r="F122" s="960">
        <v>595000</v>
      </c>
      <c r="G122" s="961">
        <v>595000</v>
      </c>
    </row>
    <row r="123" spans="1:7">
      <c r="A123" s="905">
        <v>3224</v>
      </c>
      <c r="B123" s="950" t="s">
        <v>31</v>
      </c>
      <c r="C123" s="943" t="s">
        <v>232</v>
      </c>
      <c r="D123" s="943" t="s">
        <v>82</v>
      </c>
      <c r="E123" s="960">
        <v>7059</v>
      </c>
      <c r="F123" s="960">
        <v>7059</v>
      </c>
      <c r="G123" s="961">
        <v>7059</v>
      </c>
    </row>
    <row r="124" spans="1:7">
      <c r="A124" s="905">
        <v>3224</v>
      </c>
      <c r="B124" s="950" t="s">
        <v>31</v>
      </c>
      <c r="C124" s="943" t="s">
        <v>232</v>
      </c>
      <c r="D124" s="943" t="s">
        <v>234</v>
      </c>
      <c r="E124" s="960">
        <v>40000</v>
      </c>
      <c r="F124" s="960">
        <v>40000</v>
      </c>
      <c r="G124" s="961">
        <v>40000</v>
      </c>
    </row>
    <row r="125" spans="1:7">
      <c r="A125" s="905">
        <v>3227</v>
      </c>
      <c r="B125" s="885" t="s">
        <v>359</v>
      </c>
      <c r="C125" s="943" t="s">
        <v>232</v>
      </c>
      <c r="D125" s="943" t="s">
        <v>82</v>
      </c>
      <c r="E125" s="960">
        <v>1765</v>
      </c>
      <c r="F125" s="960">
        <v>1765</v>
      </c>
      <c r="G125" s="961">
        <v>1765</v>
      </c>
    </row>
    <row r="126" spans="1:7">
      <c r="A126" s="905">
        <v>3227</v>
      </c>
      <c r="B126" s="885" t="s">
        <v>359</v>
      </c>
      <c r="C126" s="943" t="s">
        <v>232</v>
      </c>
      <c r="D126" s="943" t="s">
        <v>234</v>
      </c>
      <c r="E126" s="960">
        <v>10000</v>
      </c>
      <c r="F126" s="960">
        <v>10000</v>
      </c>
      <c r="G126" s="961">
        <v>10000</v>
      </c>
    </row>
    <row r="127" spans="1:7">
      <c r="A127" s="941">
        <v>323</v>
      </c>
      <c r="B127" s="942" t="s">
        <v>35</v>
      </c>
      <c r="C127" s="948" t="s">
        <v>232</v>
      </c>
      <c r="D127" s="948" t="s">
        <v>82</v>
      </c>
      <c r="E127" s="944">
        <f>E129+E131+E133+E135+E137+E139+E141+E143</f>
        <v>1435836</v>
      </c>
      <c r="F127" s="944">
        <f t="shared" ref="F127" si="64">F129+F131+F133+F135+F137+F139+F141+F143</f>
        <v>879953</v>
      </c>
      <c r="G127" s="946">
        <f t="shared" ref="G127" si="65">G129+G131+G133+G135+G137+G139+G141+G143</f>
        <v>746718</v>
      </c>
    </row>
    <row r="128" spans="1:7">
      <c r="A128" s="941">
        <v>323</v>
      </c>
      <c r="B128" s="942" t="s">
        <v>35</v>
      </c>
      <c r="C128" s="948" t="s">
        <v>232</v>
      </c>
      <c r="D128" s="948" t="s">
        <v>234</v>
      </c>
      <c r="E128" s="944">
        <f>E130+E132+E134+E136+E138+E140+E142+E144</f>
        <v>8097000</v>
      </c>
      <c r="F128" s="944">
        <f t="shared" ref="F128" si="66">F130+F132+F134+F136+F138+F140+F142+F144</f>
        <v>4947000</v>
      </c>
      <c r="G128" s="946">
        <f t="shared" ref="G128" si="67">G130+G132+G134+G136+G138+G140+G142+G144</f>
        <v>4192000</v>
      </c>
    </row>
    <row r="129" spans="1:7">
      <c r="A129" s="947">
        <v>3231</v>
      </c>
      <c r="B129" s="885" t="s">
        <v>37</v>
      </c>
      <c r="C129" s="943" t="s">
        <v>232</v>
      </c>
      <c r="D129" s="943" t="s">
        <v>82</v>
      </c>
      <c r="E129" s="960">
        <v>57600</v>
      </c>
      <c r="F129" s="960">
        <v>57600</v>
      </c>
      <c r="G129" s="961">
        <v>57600</v>
      </c>
    </row>
    <row r="130" spans="1:7">
      <c r="A130" s="947">
        <v>3231</v>
      </c>
      <c r="B130" s="885" t="s">
        <v>37</v>
      </c>
      <c r="C130" s="943" t="s">
        <v>232</v>
      </c>
      <c r="D130" s="943" t="s">
        <v>234</v>
      </c>
      <c r="E130" s="960">
        <v>327000</v>
      </c>
      <c r="F130" s="960">
        <v>327000</v>
      </c>
      <c r="G130" s="961">
        <v>327000</v>
      </c>
    </row>
    <row r="131" spans="1:7">
      <c r="A131" s="947">
        <v>3232</v>
      </c>
      <c r="B131" s="885" t="s">
        <v>39</v>
      </c>
      <c r="C131" s="943" t="s">
        <v>232</v>
      </c>
      <c r="D131" s="943" t="s">
        <v>82</v>
      </c>
      <c r="E131" s="960">
        <v>17647</v>
      </c>
      <c r="F131" s="960">
        <v>17647</v>
      </c>
      <c r="G131" s="961">
        <v>17647</v>
      </c>
    </row>
    <row r="132" spans="1:7">
      <c r="A132" s="947">
        <v>3232</v>
      </c>
      <c r="B132" s="885" t="s">
        <v>39</v>
      </c>
      <c r="C132" s="943" t="s">
        <v>232</v>
      </c>
      <c r="D132" s="943" t="s">
        <v>234</v>
      </c>
      <c r="E132" s="960">
        <v>100000</v>
      </c>
      <c r="F132" s="960">
        <v>100000</v>
      </c>
      <c r="G132" s="961">
        <v>100000</v>
      </c>
    </row>
    <row r="133" spans="1:7">
      <c r="A133" s="947">
        <v>3233</v>
      </c>
      <c r="B133" s="885" t="s">
        <v>41</v>
      </c>
      <c r="C133" s="943" t="s">
        <v>232</v>
      </c>
      <c r="D133" s="943" t="s">
        <v>82</v>
      </c>
      <c r="E133" s="960">
        <v>379412</v>
      </c>
      <c r="F133" s="960">
        <v>176470</v>
      </c>
      <c r="G133" s="961">
        <v>60882</v>
      </c>
    </row>
    <row r="134" spans="1:7">
      <c r="A134" s="947">
        <v>3233</v>
      </c>
      <c r="B134" s="885" t="s">
        <v>41</v>
      </c>
      <c r="C134" s="943" t="s">
        <v>232</v>
      </c>
      <c r="D134" s="943" t="s">
        <v>234</v>
      </c>
      <c r="E134" s="960">
        <v>2150000</v>
      </c>
      <c r="F134" s="960">
        <v>1000000</v>
      </c>
      <c r="G134" s="961">
        <v>345000</v>
      </c>
    </row>
    <row r="135" spans="1:7">
      <c r="A135" s="947">
        <v>3234</v>
      </c>
      <c r="B135" s="885" t="s">
        <v>43</v>
      </c>
      <c r="C135" s="943" t="s">
        <v>232</v>
      </c>
      <c r="D135" s="943" t="s">
        <v>82</v>
      </c>
      <c r="E135" s="960">
        <v>60000</v>
      </c>
      <c r="F135" s="960">
        <v>60000</v>
      </c>
      <c r="G135" s="961">
        <v>60000</v>
      </c>
    </row>
    <row r="136" spans="1:7">
      <c r="A136" s="947">
        <v>3234</v>
      </c>
      <c r="B136" s="885" t="s">
        <v>43</v>
      </c>
      <c r="C136" s="943" t="s">
        <v>232</v>
      </c>
      <c r="D136" s="943" t="s">
        <v>234</v>
      </c>
      <c r="E136" s="960">
        <v>300000</v>
      </c>
      <c r="F136" s="960">
        <v>300000</v>
      </c>
      <c r="G136" s="961">
        <v>300000</v>
      </c>
    </row>
    <row r="137" spans="1:7">
      <c r="A137" s="947">
        <v>3235</v>
      </c>
      <c r="B137" s="885" t="s">
        <v>45</v>
      </c>
      <c r="C137" s="943" t="s">
        <v>232</v>
      </c>
      <c r="D137" s="943" t="s">
        <v>82</v>
      </c>
      <c r="E137" s="960">
        <v>158824</v>
      </c>
      <c r="F137" s="960">
        <v>158824</v>
      </c>
      <c r="G137" s="961">
        <v>158824</v>
      </c>
    </row>
    <row r="138" spans="1:7">
      <c r="A138" s="947">
        <v>3235</v>
      </c>
      <c r="B138" s="885" t="s">
        <v>45</v>
      </c>
      <c r="C138" s="943" t="s">
        <v>232</v>
      </c>
      <c r="D138" s="943" t="s">
        <v>234</v>
      </c>
      <c r="E138" s="960">
        <v>900000</v>
      </c>
      <c r="F138" s="960">
        <v>900000</v>
      </c>
      <c r="G138" s="961">
        <v>900000</v>
      </c>
    </row>
    <row r="139" spans="1:7">
      <c r="A139" s="947">
        <v>3237</v>
      </c>
      <c r="B139" s="885" t="s">
        <v>49</v>
      </c>
      <c r="C139" s="943" t="s">
        <v>232</v>
      </c>
      <c r="D139" s="943" t="s">
        <v>82</v>
      </c>
      <c r="E139" s="960">
        <v>705882</v>
      </c>
      <c r="F139" s="960">
        <v>352941</v>
      </c>
      <c r="G139" s="961">
        <v>352941</v>
      </c>
    </row>
    <row r="140" spans="1:7">
      <c r="A140" s="947">
        <v>3237</v>
      </c>
      <c r="B140" s="885" t="s">
        <v>49</v>
      </c>
      <c r="C140" s="943" t="s">
        <v>232</v>
      </c>
      <c r="D140" s="943" t="s">
        <v>234</v>
      </c>
      <c r="E140" s="960">
        <v>4000000</v>
      </c>
      <c r="F140" s="960">
        <v>2000000</v>
      </c>
      <c r="G140" s="961">
        <v>2000000</v>
      </c>
    </row>
    <row r="141" spans="1:7">
      <c r="A141" s="947">
        <v>3238</v>
      </c>
      <c r="B141" s="885" t="s">
        <v>51</v>
      </c>
      <c r="C141" s="943" t="s">
        <v>232</v>
      </c>
      <c r="D141" s="943" t="s">
        <v>82</v>
      </c>
      <c r="E141" s="960">
        <v>3530</v>
      </c>
      <c r="F141" s="960">
        <v>3530</v>
      </c>
      <c r="G141" s="961">
        <v>3530</v>
      </c>
    </row>
    <row r="142" spans="1:7">
      <c r="A142" s="947">
        <v>3238</v>
      </c>
      <c r="B142" s="885" t="s">
        <v>51</v>
      </c>
      <c r="C142" s="943" t="s">
        <v>232</v>
      </c>
      <c r="D142" s="943" t="s">
        <v>234</v>
      </c>
      <c r="E142" s="960">
        <v>20000</v>
      </c>
      <c r="F142" s="960">
        <v>20000</v>
      </c>
      <c r="G142" s="961">
        <v>20000</v>
      </c>
    </row>
    <row r="143" spans="1:7">
      <c r="A143" s="947">
        <v>3239</v>
      </c>
      <c r="B143" s="885" t="s">
        <v>53</v>
      </c>
      <c r="C143" s="943" t="s">
        <v>232</v>
      </c>
      <c r="D143" s="943" t="s">
        <v>82</v>
      </c>
      <c r="E143" s="960">
        <v>52941</v>
      </c>
      <c r="F143" s="960">
        <v>52941</v>
      </c>
      <c r="G143" s="961">
        <v>35294</v>
      </c>
    </row>
    <row r="144" spans="1:7">
      <c r="A144" s="947">
        <v>3239</v>
      </c>
      <c r="B144" s="885" t="s">
        <v>53</v>
      </c>
      <c r="C144" s="943" t="s">
        <v>232</v>
      </c>
      <c r="D144" s="943" t="s">
        <v>234</v>
      </c>
      <c r="E144" s="960">
        <v>300000</v>
      </c>
      <c r="F144" s="960">
        <v>300000</v>
      </c>
      <c r="G144" s="961">
        <v>200000</v>
      </c>
    </row>
    <row r="145" spans="1:10">
      <c r="A145" s="941">
        <v>329</v>
      </c>
      <c r="B145" s="942" t="s">
        <v>58</v>
      </c>
      <c r="C145" s="948" t="s">
        <v>232</v>
      </c>
      <c r="D145" s="948" t="s">
        <v>82</v>
      </c>
      <c r="E145" s="944">
        <f>E147</f>
        <v>35294</v>
      </c>
      <c r="F145" s="944">
        <f t="shared" ref="F145:G145" si="68">F147</f>
        <v>28950</v>
      </c>
      <c r="G145" s="946">
        <f t="shared" si="68"/>
        <v>28950</v>
      </c>
    </row>
    <row r="146" spans="1:10">
      <c r="A146" s="941">
        <v>329</v>
      </c>
      <c r="B146" s="942" t="s">
        <v>58</v>
      </c>
      <c r="C146" s="948" t="s">
        <v>232</v>
      </c>
      <c r="D146" s="948" t="s">
        <v>234</v>
      </c>
      <c r="E146" s="944">
        <f>E148</f>
        <v>200000</v>
      </c>
      <c r="F146" s="944">
        <f t="shared" ref="F146:G146" si="69">F148</f>
        <v>164050</v>
      </c>
      <c r="G146" s="946">
        <f t="shared" si="69"/>
        <v>164050</v>
      </c>
    </row>
    <row r="147" spans="1:10">
      <c r="A147" s="947">
        <v>3293</v>
      </c>
      <c r="B147" s="885" t="s">
        <v>64</v>
      </c>
      <c r="C147" s="943" t="s">
        <v>232</v>
      </c>
      <c r="D147" s="943" t="s">
        <v>82</v>
      </c>
      <c r="E147" s="960">
        <v>35294</v>
      </c>
      <c r="F147" s="960">
        <v>28950</v>
      </c>
      <c r="G147" s="961">
        <v>28950</v>
      </c>
    </row>
    <row r="148" spans="1:10">
      <c r="A148" s="947">
        <v>3293</v>
      </c>
      <c r="B148" s="885" t="s">
        <v>64</v>
      </c>
      <c r="C148" s="943" t="s">
        <v>232</v>
      </c>
      <c r="D148" s="943" t="s">
        <v>234</v>
      </c>
      <c r="E148" s="960">
        <v>200000</v>
      </c>
      <c r="F148" s="960">
        <v>164050</v>
      </c>
      <c r="G148" s="961">
        <v>164050</v>
      </c>
    </row>
    <row r="149" spans="1:10">
      <c r="A149" s="935">
        <v>37</v>
      </c>
      <c r="B149" s="936" t="s">
        <v>484</v>
      </c>
      <c r="C149" s="937" t="s">
        <v>232</v>
      </c>
      <c r="D149" s="939">
        <v>12</v>
      </c>
      <c r="E149" s="938">
        <f>E151</f>
        <v>30000</v>
      </c>
      <c r="F149" s="938">
        <f t="shared" ref="F149" si="70">F151</f>
        <v>30000</v>
      </c>
      <c r="G149" s="940">
        <f t="shared" ref="G149" si="71">G151</f>
        <v>0</v>
      </c>
    </row>
    <row r="150" spans="1:10">
      <c r="A150" s="935">
        <v>37</v>
      </c>
      <c r="B150" s="936" t="s">
        <v>484</v>
      </c>
      <c r="C150" s="937" t="s">
        <v>232</v>
      </c>
      <c r="D150" s="939">
        <v>563</v>
      </c>
      <c r="E150" s="938">
        <f>E152</f>
        <v>170000</v>
      </c>
      <c r="F150" s="938">
        <f t="shared" ref="F150" si="72">F152</f>
        <v>170000</v>
      </c>
      <c r="G150" s="940">
        <f t="shared" ref="G150" si="73">G152</f>
        <v>0</v>
      </c>
    </row>
    <row r="151" spans="1:10">
      <c r="A151" s="941">
        <v>372</v>
      </c>
      <c r="B151" s="942" t="s">
        <v>357</v>
      </c>
      <c r="C151" s="943" t="s">
        <v>232</v>
      </c>
      <c r="D151" s="948">
        <v>12</v>
      </c>
      <c r="E151" s="944">
        <f t="shared" ref="E151:F151" si="74">E153</f>
        <v>30000</v>
      </c>
      <c r="F151" s="944">
        <f t="shared" si="74"/>
        <v>30000</v>
      </c>
      <c r="G151" s="946">
        <f t="shared" ref="G151" si="75">G153</f>
        <v>0</v>
      </c>
    </row>
    <row r="152" spans="1:10">
      <c r="A152" s="941">
        <v>372</v>
      </c>
      <c r="B152" s="942" t="s">
        <v>357</v>
      </c>
      <c r="C152" s="943" t="s">
        <v>232</v>
      </c>
      <c r="D152" s="948">
        <v>563</v>
      </c>
      <c r="E152" s="944">
        <f t="shared" ref="E152:F152" si="76">E154</f>
        <v>170000</v>
      </c>
      <c r="F152" s="944">
        <f t="shared" si="76"/>
        <v>170000</v>
      </c>
      <c r="G152" s="946">
        <f t="shared" ref="G152" si="77">G154</f>
        <v>0</v>
      </c>
    </row>
    <row r="153" spans="1:10">
      <c r="A153" s="962">
        <v>3721</v>
      </c>
      <c r="B153" s="963" t="s">
        <v>175</v>
      </c>
      <c r="C153" s="943" t="s">
        <v>232</v>
      </c>
      <c r="D153" s="943" t="s">
        <v>82</v>
      </c>
      <c r="E153" s="960">
        <v>30000</v>
      </c>
      <c r="F153" s="960">
        <v>30000</v>
      </c>
      <c r="G153" s="961">
        <v>0</v>
      </c>
    </row>
    <row r="154" spans="1:10">
      <c r="A154" s="962">
        <v>3723</v>
      </c>
      <c r="B154" s="963" t="s">
        <v>514</v>
      </c>
      <c r="C154" s="943" t="s">
        <v>232</v>
      </c>
      <c r="D154" s="943" t="s">
        <v>234</v>
      </c>
      <c r="E154" s="960">
        <v>170000</v>
      </c>
      <c r="F154" s="960">
        <v>170000</v>
      </c>
      <c r="G154" s="961">
        <v>0</v>
      </c>
    </row>
    <row r="155" spans="1:10">
      <c r="A155" s="964">
        <v>41</v>
      </c>
      <c r="B155" s="965" t="s">
        <v>479</v>
      </c>
      <c r="C155" s="937" t="s">
        <v>232</v>
      </c>
      <c r="D155" s="937" t="s">
        <v>82</v>
      </c>
      <c r="E155" s="938">
        <f t="shared" ref="E155:F155" si="78">E157</f>
        <v>17647</v>
      </c>
      <c r="F155" s="938">
        <f t="shared" si="78"/>
        <v>17647</v>
      </c>
      <c r="G155" s="940">
        <f t="shared" ref="G155" si="79">G157</f>
        <v>17647</v>
      </c>
      <c r="H155" s="22"/>
      <c r="I155" s="22"/>
      <c r="J155" s="22"/>
    </row>
    <row r="156" spans="1:10">
      <c r="A156" s="964">
        <v>41</v>
      </c>
      <c r="B156" s="965" t="s">
        <v>479</v>
      </c>
      <c r="C156" s="937" t="s">
        <v>232</v>
      </c>
      <c r="D156" s="937" t="s">
        <v>234</v>
      </c>
      <c r="E156" s="938">
        <f>E158</f>
        <v>100000</v>
      </c>
      <c r="F156" s="938">
        <f t="shared" ref="F156" si="80">F158</f>
        <v>100000</v>
      </c>
      <c r="G156" s="940">
        <f t="shared" ref="G156" si="81">G158</f>
        <v>100000</v>
      </c>
      <c r="H156" s="22"/>
      <c r="I156" s="22"/>
      <c r="J156" s="22"/>
    </row>
    <row r="157" spans="1:10">
      <c r="A157" s="941">
        <v>412</v>
      </c>
      <c r="B157" s="942" t="s">
        <v>84</v>
      </c>
      <c r="C157" s="943" t="s">
        <v>232</v>
      </c>
      <c r="D157" s="948">
        <v>12</v>
      </c>
      <c r="E157" s="944">
        <f t="shared" ref="E157:F157" si="82">E159</f>
        <v>17647</v>
      </c>
      <c r="F157" s="944">
        <f t="shared" si="82"/>
        <v>17647</v>
      </c>
      <c r="G157" s="946">
        <f t="shared" ref="G157" si="83">G159</f>
        <v>17647</v>
      </c>
    </row>
    <row r="158" spans="1:10">
      <c r="A158" s="941">
        <v>412</v>
      </c>
      <c r="B158" s="942" t="s">
        <v>84</v>
      </c>
      <c r="C158" s="943" t="s">
        <v>232</v>
      </c>
      <c r="D158" s="948">
        <v>563</v>
      </c>
      <c r="E158" s="944">
        <f t="shared" ref="E158:F158" si="84">E160</f>
        <v>100000</v>
      </c>
      <c r="F158" s="944">
        <f t="shared" si="84"/>
        <v>100000</v>
      </c>
      <c r="G158" s="946">
        <f t="shared" ref="G158" si="85">G160</f>
        <v>100000</v>
      </c>
    </row>
    <row r="159" spans="1:10">
      <c r="A159" s="947">
        <v>4123</v>
      </c>
      <c r="B159" s="885" t="s">
        <v>86</v>
      </c>
      <c r="C159" s="943" t="s">
        <v>232</v>
      </c>
      <c r="D159" s="943" t="s">
        <v>82</v>
      </c>
      <c r="E159" s="960">
        <v>17647</v>
      </c>
      <c r="F159" s="960">
        <v>17647</v>
      </c>
      <c r="G159" s="961">
        <v>17647</v>
      </c>
    </row>
    <row r="160" spans="1:10">
      <c r="A160" s="947">
        <v>4123</v>
      </c>
      <c r="B160" s="885" t="s">
        <v>86</v>
      </c>
      <c r="C160" s="943" t="s">
        <v>232</v>
      </c>
      <c r="D160" s="943" t="s">
        <v>234</v>
      </c>
      <c r="E160" s="960">
        <v>100000</v>
      </c>
      <c r="F160" s="960">
        <v>100000</v>
      </c>
      <c r="G160" s="961">
        <v>100000</v>
      </c>
    </row>
    <row r="161" spans="1:7">
      <c r="A161" s="964">
        <v>42</v>
      </c>
      <c r="B161" s="965" t="s">
        <v>480</v>
      </c>
      <c r="C161" s="937" t="s">
        <v>232</v>
      </c>
      <c r="D161" s="937" t="s">
        <v>82</v>
      </c>
      <c r="E161" s="938">
        <f>E163+E169</f>
        <v>69707</v>
      </c>
      <c r="F161" s="938">
        <f t="shared" ref="F161:G161" si="86">F163+F169</f>
        <v>22942</v>
      </c>
      <c r="G161" s="940">
        <f t="shared" si="86"/>
        <v>22942</v>
      </c>
    </row>
    <row r="162" spans="1:7">
      <c r="A162" s="964">
        <v>42</v>
      </c>
      <c r="B162" s="965" t="s">
        <v>480</v>
      </c>
      <c r="C162" s="937" t="s">
        <v>232</v>
      </c>
      <c r="D162" s="937" t="s">
        <v>234</v>
      </c>
      <c r="E162" s="938">
        <f>E164+E170</f>
        <v>395000</v>
      </c>
      <c r="F162" s="938">
        <f t="shared" ref="F162:G162" si="87">F164+F170</f>
        <v>130000</v>
      </c>
      <c r="G162" s="940">
        <f t="shared" si="87"/>
        <v>130000</v>
      </c>
    </row>
    <row r="163" spans="1:7">
      <c r="A163" s="941">
        <v>422</v>
      </c>
      <c r="B163" s="942" t="s">
        <v>89</v>
      </c>
      <c r="C163" s="943" t="s">
        <v>232</v>
      </c>
      <c r="D163" s="948" t="s">
        <v>82</v>
      </c>
      <c r="E163" s="944">
        <f>E165+E167</f>
        <v>65295</v>
      </c>
      <c r="F163" s="944">
        <f t="shared" ref="F163" si="88">F165+F167</f>
        <v>18530</v>
      </c>
      <c r="G163" s="946">
        <f t="shared" ref="G163" si="89">G165+G167</f>
        <v>18530</v>
      </c>
    </row>
    <row r="164" spans="1:7">
      <c r="A164" s="941">
        <v>422</v>
      </c>
      <c r="B164" s="942" t="s">
        <v>89</v>
      </c>
      <c r="C164" s="943" t="s">
        <v>232</v>
      </c>
      <c r="D164" s="948">
        <v>563</v>
      </c>
      <c r="E164" s="944">
        <f>E166+E168</f>
        <v>370000</v>
      </c>
      <c r="F164" s="944">
        <f t="shared" ref="F164" si="90">F166+F168</f>
        <v>105000</v>
      </c>
      <c r="G164" s="946">
        <f t="shared" ref="G164" si="91">G166+G168</f>
        <v>105000</v>
      </c>
    </row>
    <row r="165" spans="1:7">
      <c r="A165" s="947">
        <v>4221</v>
      </c>
      <c r="B165" s="885" t="s">
        <v>91</v>
      </c>
      <c r="C165" s="943" t="s">
        <v>232</v>
      </c>
      <c r="D165" s="943" t="s">
        <v>82</v>
      </c>
      <c r="E165" s="960">
        <v>61765</v>
      </c>
      <c r="F165" s="960">
        <v>15000</v>
      </c>
      <c r="G165" s="961">
        <v>15000</v>
      </c>
    </row>
    <row r="166" spans="1:7">
      <c r="A166" s="947">
        <v>4221</v>
      </c>
      <c r="B166" s="885" t="s">
        <v>91</v>
      </c>
      <c r="C166" s="943" t="s">
        <v>232</v>
      </c>
      <c r="D166" s="943" t="s">
        <v>234</v>
      </c>
      <c r="E166" s="960">
        <v>350000</v>
      </c>
      <c r="F166" s="960">
        <v>85000</v>
      </c>
      <c r="G166" s="961">
        <v>85000</v>
      </c>
    </row>
    <row r="167" spans="1:7">
      <c r="A167" s="947">
        <v>4222</v>
      </c>
      <c r="B167" s="885" t="s">
        <v>93</v>
      </c>
      <c r="C167" s="943" t="s">
        <v>232</v>
      </c>
      <c r="D167" s="943" t="s">
        <v>82</v>
      </c>
      <c r="E167" s="960">
        <v>3530</v>
      </c>
      <c r="F167" s="960">
        <v>3530</v>
      </c>
      <c r="G167" s="961">
        <v>3530</v>
      </c>
    </row>
    <row r="168" spans="1:7">
      <c r="A168" s="947">
        <v>4222</v>
      </c>
      <c r="B168" s="885" t="s">
        <v>93</v>
      </c>
      <c r="C168" s="943" t="s">
        <v>232</v>
      </c>
      <c r="D168" s="943" t="s">
        <v>234</v>
      </c>
      <c r="E168" s="960">
        <v>20000</v>
      </c>
      <c r="F168" s="960">
        <v>20000</v>
      </c>
      <c r="G168" s="961">
        <v>20000</v>
      </c>
    </row>
    <row r="169" spans="1:7">
      <c r="A169" s="957">
        <v>426</v>
      </c>
      <c r="B169" s="966" t="s">
        <v>363</v>
      </c>
      <c r="C169" s="948" t="s">
        <v>232</v>
      </c>
      <c r="D169" s="948" t="s">
        <v>82</v>
      </c>
      <c r="E169" s="944">
        <f>E171</f>
        <v>4412</v>
      </c>
      <c r="F169" s="944">
        <f t="shared" ref="F169" si="92">F171</f>
        <v>4412</v>
      </c>
      <c r="G169" s="946">
        <f t="shared" ref="G169" si="93">G171</f>
        <v>4412</v>
      </c>
    </row>
    <row r="170" spans="1:7">
      <c r="A170" s="957">
        <v>426</v>
      </c>
      <c r="B170" s="966" t="s">
        <v>363</v>
      </c>
      <c r="C170" s="948" t="s">
        <v>232</v>
      </c>
      <c r="D170" s="948" t="s">
        <v>234</v>
      </c>
      <c r="E170" s="944">
        <f t="shared" ref="E170:F170" si="94">E172</f>
        <v>25000</v>
      </c>
      <c r="F170" s="944">
        <f t="shared" si="94"/>
        <v>25000</v>
      </c>
      <c r="G170" s="946">
        <f t="shared" ref="G170" si="95">G172</f>
        <v>25000</v>
      </c>
    </row>
    <row r="171" spans="1:7">
      <c r="A171" s="905">
        <v>4262</v>
      </c>
      <c r="B171" s="885" t="s">
        <v>182</v>
      </c>
      <c r="C171" s="943" t="s">
        <v>232</v>
      </c>
      <c r="D171" s="943" t="s">
        <v>82</v>
      </c>
      <c r="E171" s="960">
        <v>4412</v>
      </c>
      <c r="F171" s="960">
        <v>4412</v>
      </c>
      <c r="G171" s="961">
        <v>4412</v>
      </c>
    </row>
    <row r="172" spans="1:7">
      <c r="A172" s="905">
        <v>4262</v>
      </c>
      <c r="B172" s="885" t="s">
        <v>182</v>
      </c>
      <c r="C172" s="943" t="s">
        <v>232</v>
      </c>
      <c r="D172" s="943" t="s">
        <v>234</v>
      </c>
      <c r="E172" s="960">
        <v>25000</v>
      </c>
      <c r="F172" s="960">
        <v>25000</v>
      </c>
      <c r="G172" s="961">
        <v>25000</v>
      </c>
    </row>
    <row r="173" spans="1:7">
      <c r="A173" s="930" t="s">
        <v>459</v>
      </c>
      <c r="B173" s="931" t="s">
        <v>473</v>
      </c>
      <c r="C173" s="932" t="s">
        <v>232</v>
      </c>
      <c r="D173" s="933"/>
      <c r="E173" s="933">
        <f>E174+E177+E178+E179</f>
        <v>371594000</v>
      </c>
      <c r="F173" s="933">
        <f t="shared" ref="F173:G173" si="96">F174+F177+F178+F179</f>
        <v>305260000</v>
      </c>
      <c r="G173" s="934">
        <f t="shared" si="96"/>
        <v>197014360</v>
      </c>
    </row>
    <row r="174" spans="1:7">
      <c r="A174" s="964">
        <v>35</v>
      </c>
      <c r="B174" s="965" t="s">
        <v>487</v>
      </c>
      <c r="C174" s="937" t="s">
        <v>232</v>
      </c>
      <c r="D174" s="937" t="s">
        <v>234</v>
      </c>
      <c r="E174" s="938">
        <f t="shared" ref="E174:F174" si="97">E176</f>
        <v>25000000</v>
      </c>
      <c r="F174" s="938">
        <f t="shared" si="97"/>
        <v>25000000</v>
      </c>
      <c r="G174" s="940">
        <f t="shared" ref="G174" si="98">G176</f>
        <v>14360</v>
      </c>
    </row>
    <row r="175" spans="1:7">
      <c r="A175" s="941">
        <v>353</v>
      </c>
      <c r="B175" s="942" t="s">
        <v>461</v>
      </c>
      <c r="C175" s="967" t="s">
        <v>232</v>
      </c>
      <c r="D175" s="968">
        <v>563</v>
      </c>
      <c r="E175" s="958">
        <f t="shared" ref="E175:F175" si="99">E176</f>
        <v>25000000</v>
      </c>
      <c r="F175" s="958">
        <f t="shared" si="99"/>
        <v>25000000</v>
      </c>
      <c r="G175" s="959">
        <f t="shared" ref="G175" si="100">G176</f>
        <v>14360</v>
      </c>
    </row>
    <row r="176" spans="1:7">
      <c r="A176" s="962">
        <v>3531</v>
      </c>
      <c r="B176" s="963" t="s">
        <v>370</v>
      </c>
      <c r="C176" s="967" t="s">
        <v>232</v>
      </c>
      <c r="D176" s="967" t="s">
        <v>234</v>
      </c>
      <c r="E176" s="886">
        <v>25000000</v>
      </c>
      <c r="F176" s="886">
        <v>25000000</v>
      </c>
      <c r="G176" s="906">
        <v>14360</v>
      </c>
    </row>
    <row r="177" spans="1:10">
      <c r="A177" s="964">
        <v>51</v>
      </c>
      <c r="B177" s="965" t="s">
        <v>482</v>
      </c>
      <c r="C177" s="955" t="s">
        <v>232</v>
      </c>
      <c r="D177" s="955" t="s">
        <v>82</v>
      </c>
      <c r="E177" s="954">
        <f>E186</f>
        <v>106020000</v>
      </c>
      <c r="F177" s="954">
        <f t="shared" ref="F177:G177" si="101">F186</f>
        <v>109260000</v>
      </c>
      <c r="G177" s="956">
        <f t="shared" si="101"/>
        <v>0</v>
      </c>
    </row>
    <row r="178" spans="1:10">
      <c r="A178" s="964">
        <v>51</v>
      </c>
      <c r="B178" s="965" t="s">
        <v>482</v>
      </c>
      <c r="C178" s="955" t="s">
        <v>232</v>
      </c>
      <c r="D178" s="955" t="s">
        <v>216</v>
      </c>
      <c r="E178" s="954">
        <f t="shared" ref="E178:F178" si="102">E180</f>
        <v>59000000</v>
      </c>
      <c r="F178" s="954">
        <f t="shared" si="102"/>
        <v>81000000</v>
      </c>
      <c r="G178" s="956">
        <f t="shared" ref="G178" si="103">G180</f>
        <v>97000000</v>
      </c>
    </row>
    <row r="179" spans="1:10">
      <c r="A179" s="964">
        <v>51</v>
      </c>
      <c r="B179" s="965" t="s">
        <v>482</v>
      </c>
      <c r="C179" s="955" t="s">
        <v>232</v>
      </c>
      <c r="D179" s="955" t="s">
        <v>234</v>
      </c>
      <c r="E179" s="954">
        <f>E181+E187</f>
        <v>181574000</v>
      </c>
      <c r="F179" s="954">
        <f>F181+F187</f>
        <v>90000000</v>
      </c>
      <c r="G179" s="956">
        <f>G181+G187</f>
        <v>100000000</v>
      </c>
    </row>
    <row r="180" spans="1:10">
      <c r="A180" s="941">
        <v>516</v>
      </c>
      <c r="B180" s="942" t="s">
        <v>79</v>
      </c>
      <c r="C180" s="949" t="s">
        <v>232</v>
      </c>
      <c r="D180" s="949" t="s">
        <v>216</v>
      </c>
      <c r="E180" s="958">
        <f t="shared" ref="E180:F180" si="104">E182+E184</f>
        <v>59000000</v>
      </c>
      <c r="F180" s="958">
        <f t="shared" si="104"/>
        <v>81000000</v>
      </c>
      <c r="G180" s="959">
        <f t="shared" ref="G180" si="105">G182+G184</f>
        <v>97000000</v>
      </c>
    </row>
    <row r="181" spans="1:10">
      <c r="A181" s="941">
        <v>516</v>
      </c>
      <c r="B181" s="942" t="s">
        <v>79</v>
      </c>
      <c r="C181" s="949" t="s">
        <v>232</v>
      </c>
      <c r="D181" s="949" t="s">
        <v>234</v>
      </c>
      <c r="E181" s="958">
        <f t="shared" ref="E181:F181" si="106">E183+E185</f>
        <v>80000000</v>
      </c>
      <c r="F181" s="958">
        <f t="shared" si="106"/>
        <v>90000000</v>
      </c>
      <c r="G181" s="959">
        <f t="shared" ref="G181" si="107">G183+G185</f>
        <v>100000000</v>
      </c>
    </row>
    <row r="182" spans="1:10">
      <c r="A182" s="962">
        <v>5163</v>
      </c>
      <c r="B182" s="963" t="s">
        <v>344</v>
      </c>
      <c r="C182" s="967" t="s">
        <v>232</v>
      </c>
      <c r="D182" s="967" t="s">
        <v>216</v>
      </c>
      <c r="E182" s="886">
        <v>42500000</v>
      </c>
      <c r="F182" s="886">
        <v>59000000</v>
      </c>
      <c r="G182" s="906">
        <v>66000000</v>
      </c>
      <c r="H182" s="22"/>
      <c r="I182" s="22"/>
      <c r="J182" s="22"/>
    </row>
    <row r="183" spans="1:10">
      <c r="A183" s="962">
        <v>5163</v>
      </c>
      <c r="B183" s="963" t="s">
        <v>344</v>
      </c>
      <c r="C183" s="967" t="s">
        <v>232</v>
      </c>
      <c r="D183" s="967" t="s">
        <v>234</v>
      </c>
      <c r="E183" s="886">
        <v>60000000</v>
      </c>
      <c r="F183" s="886">
        <v>70000000</v>
      </c>
      <c r="G183" s="906">
        <v>70000000</v>
      </c>
      <c r="H183" s="22"/>
      <c r="I183" s="22"/>
      <c r="J183" s="22"/>
    </row>
    <row r="184" spans="1:10">
      <c r="A184" s="962">
        <v>5164</v>
      </c>
      <c r="B184" s="963" t="s">
        <v>345</v>
      </c>
      <c r="C184" s="967" t="s">
        <v>492</v>
      </c>
      <c r="D184" s="967" t="s">
        <v>216</v>
      </c>
      <c r="E184" s="886">
        <v>16500000</v>
      </c>
      <c r="F184" s="886">
        <v>22000000</v>
      </c>
      <c r="G184" s="906">
        <v>31000000</v>
      </c>
    </row>
    <row r="185" spans="1:10">
      <c r="A185" s="962">
        <v>5164</v>
      </c>
      <c r="B185" s="963" t="s">
        <v>345</v>
      </c>
      <c r="C185" s="967" t="s">
        <v>232</v>
      </c>
      <c r="D185" s="967" t="s">
        <v>234</v>
      </c>
      <c r="E185" s="886">
        <v>20000000</v>
      </c>
      <c r="F185" s="886">
        <v>20000000</v>
      </c>
      <c r="G185" s="906">
        <v>30000000</v>
      </c>
      <c r="H185" s="22"/>
    </row>
    <row r="186" spans="1:10">
      <c r="A186" s="941">
        <v>518</v>
      </c>
      <c r="B186" s="942" t="s">
        <v>428</v>
      </c>
      <c r="C186" s="949" t="s">
        <v>232</v>
      </c>
      <c r="D186" s="949" t="s">
        <v>82</v>
      </c>
      <c r="E186" s="958">
        <f t="shared" ref="E186:F186" si="108">E188</f>
        <v>106020000</v>
      </c>
      <c r="F186" s="958">
        <f t="shared" si="108"/>
        <v>109260000</v>
      </c>
      <c r="G186" s="959">
        <f t="shared" ref="G186" si="109">G188</f>
        <v>0</v>
      </c>
      <c r="H186" s="22"/>
    </row>
    <row r="187" spans="1:10">
      <c r="A187" s="941">
        <v>518</v>
      </c>
      <c r="B187" s="942" t="s">
        <v>428</v>
      </c>
      <c r="C187" s="949" t="s">
        <v>232</v>
      </c>
      <c r="D187" s="949" t="s">
        <v>234</v>
      </c>
      <c r="E187" s="958">
        <f t="shared" ref="E187:F187" si="110">E189</f>
        <v>101574000</v>
      </c>
      <c r="F187" s="958">
        <f t="shared" si="110"/>
        <v>0</v>
      </c>
      <c r="G187" s="959">
        <f t="shared" ref="G187" si="111">G189</f>
        <v>0</v>
      </c>
    </row>
    <row r="188" spans="1:10">
      <c r="A188" s="969">
        <v>5181</v>
      </c>
      <c r="B188" s="963" t="s">
        <v>429</v>
      </c>
      <c r="C188" s="967" t="s">
        <v>232</v>
      </c>
      <c r="D188" s="967" t="s">
        <v>82</v>
      </c>
      <c r="E188" s="886">
        <f>7600000+55100000+55100000-11780000</f>
        <v>106020000</v>
      </c>
      <c r="F188" s="886">
        <f>110200000+11200000-12140000</f>
        <v>109260000</v>
      </c>
      <c r="G188" s="906">
        <v>0</v>
      </c>
    </row>
    <row r="189" spans="1:10">
      <c r="A189" s="969">
        <v>5181</v>
      </c>
      <c r="B189" s="963" t="s">
        <v>429</v>
      </c>
      <c r="C189" s="967" t="s">
        <v>232</v>
      </c>
      <c r="D189" s="967" t="s">
        <v>234</v>
      </c>
      <c r="E189" s="886">
        <f>102600000-1026000</f>
        <v>101574000</v>
      </c>
      <c r="F189" s="886"/>
      <c r="G189" s="906">
        <v>0</v>
      </c>
    </row>
    <row r="190" spans="1:10">
      <c r="A190" s="930" t="s">
        <v>385</v>
      </c>
      <c r="B190" s="931" t="s">
        <v>369</v>
      </c>
      <c r="C190" s="932" t="s">
        <v>232</v>
      </c>
      <c r="D190" s="933"/>
      <c r="E190" s="933">
        <f>E191+E198+E221+E224+E227+E230</f>
        <v>13958005</v>
      </c>
      <c r="F190" s="933">
        <f>F191+F198+F221+F224+F227+F230</f>
        <v>14077705</v>
      </c>
      <c r="G190" s="934">
        <f>G191+G198+G221+G224+G227+G230</f>
        <v>14115505</v>
      </c>
    </row>
    <row r="191" spans="1:10">
      <c r="A191" s="964">
        <v>31</v>
      </c>
      <c r="B191" s="965" t="s">
        <v>474</v>
      </c>
      <c r="C191" s="955" t="s">
        <v>232</v>
      </c>
      <c r="D191" s="955" t="s">
        <v>234</v>
      </c>
      <c r="E191" s="954">
        <f>E192+E194+E196</f>
        <v>8352000</v>
      </c>
      <c r="F191" s="954">
        <f>F192+F194+F196</f>
        <v>8478700</v>
      </c>
      <c r="G191" s="956">
        <f>G192+G194+G196</f>
        <v>8516500</v>
      </c>
    </row>
    <row r="192" spans="1:10">
      <c r="A192" s="941">
        <v>311</v>
      </c>
      <c r="B192" s="942" t="s">
        <v>2</v>
      </c>
      <c r="C192" s="948" t="s">
        <v>232</v>
      </c>
      <c r="D192" s="948">
        <v>563</v>
      </c>
      <c r="E192" s="944">
        <f>E193</f>
        <v>6525000</v>
      </c>
      <c r="F192" s="944">
        <f t="shared" ref="F192:G192" si="112">F193</f>
        <v>6557700</v>
      </c>
      <c r="G192" s="946">
        <f t="shared" si="112"/>
        <v>6590500</v>
      </c>
    </row>
    <row r="193" spans="1:8">
      <c r="A193" s="947">
        <v>3111</v>
      </c>
      <c r="B193" s="885" t="s">
        <v>4</v>
      </c>
      <c r="C193" s="943" t="s">
        <v>232</v>
      </c>
      <c r="D193" s="943" t="s">
        <v>234</v>
      </c>
      <c r="E193" s="960">
        <v>6525000</v>
      </c>
      <c r="F193" s="960">
        <v>6557700</v>
      </c>
      <c r="G193" s="961">
        <v>6590500</v>
      </c>
    </row>
    <row r="194" spans="1:8">
      <c r="A194" s="941">
        <v>312</v>
      </c>
      <c r="B194" s="942" t="s">
        <v>8</v>
      </c>
      <c r="C194" s="948" t="s">
        <v>232</v>
      </c>
      <c r="D194" s="948" t="s">
        <v>234</v>
      </c>
      <c r="E194" s="944">
        <f>SUM(E195)</f>
        <v>749000</v>
      </c>
      <c r="F194" s="944">
        <f t="shared" ref="F194:G194" si="113">SUM(F195)</f>
        <v>839000</v>
      </c>
      <c r="G194" s="946">
        <f t="shared" si="113"/>
        <v>839000</v>
      </c>
      <c r="H194" s="22"/>
    </row>
    <row r="195" spans="1:8">
      <c r="A195" s="947">
        <v>3121</v>
      </c>
      <c r="B195" s="885" t="s">
        <v>8</v>
      </c>
      <c r="C195" s="943" t="s">
        <v>232</v>
      </c>
      <c r="D195" s="943" t="s">
        <v>234</v>
      </c>
      <c r="E195" s="960">
        <v>749000</v>
      </c>
      <c r="F195" s="960">
        <v>839000</v>
      </c>
      <c r="G195" s="961">
        <v>839000</v>
      </c>
      <c r="H195" s="22"/>
    </row>
    <row r="196" spans="1:8">
      <c r="A196" s="941">
        <v>313</v>
      </c>
      <c r="B196" s="942" t="s">
        <v>11</v>
      </c>
      <c r="C196" s="948" t="s">
        <v>232</v>
      </c>
      <c r="D196" s="948" t="s">
        <v>234</v>
      </c>
      <c r="E196" s="944">
        <f>E197</f>
        <v>1078000</v>
      </c>
      <c r="F196" s="944">
        <f t="shared" ref="F196:G196" si="114">F197</f>
        <v>1082000</v>
      </c>
      <c r="G196" s="946">
        <f t="shared" si="114"/>
        <v>1087000</v>
      </c>
    </row>
    <row r="197" spans="1:8">
      <c r="A197" s="947">
        <v>3132</v>
      </c>
      <c r="B197" s="885" t="s">
        <v>13</v>
      </c>
      <c r="C197" s="943" t="s">
        <v>232</v>
      </c>
      <c r="D197" s="943" t="s">
        <v>234</v>
      </c>
      <c r="E197" s="960">
        <v>1078000</v>
      </c>
      <c r="F197" s="960">
        <v>1082000</v>
      </c>
      <c r="G197" s="961">
        <v>1087000</v>
      </c>
    </row>
    <row r="198" spans="1:8">
      <c r="A198" s="964">
        <v>32</v>
      </c>
      <c r="B198" s="965" t="s">
        <v>476</v>
      </c>
      <c r="C198" s="937" t="s">
        <v>232</v>
      </c>
      <c r="D198" s="937" t="s">
        <v>234</v>
      </c>
      <c r="E198" s="938">
        <f>E199+E204+E208+E217</f>
        <v>4120005</v>
      </c>
      <c r="F198" s="938">
        <f t="shared" ref="F198" si="115">F199+F204+F208+F217</f>
        <v>5133005</v>
      </c>
      <c r="G198" s="940">
        <f t="shared" ref="G198" si="116">G199+G204+G208+G217</f>
        <v>5133005</v>
      </c>
    </row>
    <row r="199" spans="1:8">
      <c r="A199" s="941">
        <v>321</v>
      </c>
      <c r="B199" s="942" t="s">
        <v>17</v>
      </c>
      <c r="C199" s="948" t="s">
        <v>232</v>
      </c>
      <c r="D199" s="948">
        <v>563</v>
      </c>
      <c r="E199" s="944">
        <f>E200+E201+E202+E203</f>
        <v>503000</v>
      </c>
      <c r="F199" s="944">
        <f t="shared" ref="F199" si="117">F200+F201+F202+F203</f>
        <v>788000</v>
      </c>
      <c r="G199" s="946">
        <f t="shared" ref="G199" si="118">G200+G201+G202+G203</f>
        <v>788000</v>
      </c>
    </row>
    <row r="200" spans="1:8">
      <c r="A200" s="962">
        <v>3211</v>
      </c>
      <c r="B200" s="963" t="s">
        <v>19</v>
      </c>
      <c r="C200" s="943" t="s">
        <v>232</v>
      </c>
      <c r="D200" s="943" t="s">
        <v>234</v>
      </c>
      <c r="E200" s="960">
        <v>150000</v>
      </c>
      <c r="F200" s="960">
        <v>150000</v>
      </c>
      <c r="G200" s="961">
        <v>150000</v>
      </c>
    </row>
    <row r="201" spans="1:8">
      <c r="A201" s="962">
        <v>3212</v>
      </c>
      <c r="B201" s="963" t="s">
        <v>21</v>
      </c>
      <c r="C201" s="943" t="s">
        <v>232</v>
      </c>
      <c r="D201" s="943" t="s">
        <v>234</v>
      </c>
      <c r="E201" s="960">
        <v>188000</v>
      </c>
      <c r="F201" s="960">
        <v>188000</v>
      </c>
      <c r="G201" s="961">
        <v>188000</v>
      </c>
    </row>
    <row r="202" spans="1:8">
      <c r="A202" s="962">
        <v>3213</v>
      </c>
      <c r="B202" s="963" t="s">
        <v>23</v>
      </c>
      <c r="C202" s="943" t="s">
        <v>232</v>
      </c>
      <c r="D202" s="943" t="s">
        <v>234</v>
      </c>
      <c r="E202" s="960">
        <v>150000</v>
      </c>
      <c r="F202" s="960">
        <v>450000</v>
      </c>
      <c r="G202" s="961">
        <v>450000</v>
      </c>
    </row>
    <row r="203" spans="1:8">
      <c r="A203" s="962">
        <v>3214</v>
      </c>
      <c r="B203" s="963" t="s">
        <v>162</v>
      </c>
      <c r="C203" s="943" t="s">
        <v>232</v>
      </c>
      <c r="D203" s="943" t="s">
        <v>234</v>
      </c>
      <c r="E203" s="960">
        <v>15000</v>
      </c>
      <c r="F203" s="960">
        <v>0</v>
      </c>
      <c r="G203" s="961"/>
    </row>
    <row r="204" spans="1:8">
      <c r="A204" s="941">
        <v>322</v>
      </c>
      <c r="B204" s="942" t="s">
        <v>25</v>
      </c>
      <c r="C204" s="948" t="s">
        <v>232</v>
      </c>
      <c r="D204" s="948">
        <v>563</v>
      </c>
      <c r="E204" s="944">
        <f>SUM(E205:E207)</f>
        <v>331210</v>
      </c>
      <c r="F204" s="944">
        <f t="shared" ref="F204" si="119">SUM(F205:F207)</f>
        <v>526210</v>
      </c>
      <c r="G204" s="946">
        <f t="shared" ref="G204" si="120">SUM(G205:G207)</f>
        <v>526210</v>
      </c>
    </row>
    <row r="205" spans="1:8">
      <c r="A205" s="947">
        <v>3221</v>
      </c>
      <c r="B205" s="885" t="s">
        <v>27</v>
      </c>
      <c r="C205" s="943" t="s">
        <v>232</v>
      </c>
      <c r="D205" s="943" t="s">
        <v>234</v>
      </c>
      <c r="E205" s="960">
        <v>150535</v>
      </c>
      <c r="F205" s="960">
        <v>150535</v>
      </c>
      <c r="G205" s="961">
        <v>150535</v>
      </c>
    </row>
    <row r="206" spans="1:8">
      <c r="A206" s="947">
        <v>3223</v>
      </c>
      <c r="B206" s="950" t="s">
        <v>29</v>
      </c>
      <c r="C206" s="943" t="s">
        <v>232</v>
      </c>
      <c r="D206" s="943" t="s">
        <v>234</v>
      </c>
      <c r="E206" s="886">
        <v>175000</v>
      </c>
      <c r="F206" s="886">
        <v>370000</v>
      </c>
      <c r="G206" s="906">
        <v>370000</v>
      </c>
    </row>
    <row r="207" spans="1:8">
      <c r="A207" s="905">
        <v>3224</v>
      </c>
      <c r="B207" s="950" t="s">
        <v>31</v>
      </c>
      <c r="C207" s="943" t="s">
        <v>232</v>
      </c>
      <c r="D207" s="943" t="s">
        <v>234</v>
      </c>
      <c r="E207" s="886">
        <v>5675</v>
      </c>
      <c r="F207" s="886">
        <v>5675</v>
      </c>
      <c r="G207" s="906">
        <v>5675</v>
      </c>
    </row>
    <row r="208" spans="1:8">
      <c r="A208" s="941">
        <v>323</v>
      </c>
      <c r="B208" s="942" t="s">
        <v>35</v>
      </c>
      <c r="C208" s="948" t="s">
        <v>232</v>
      </c>
      <c r="D208" s="948">
        <v>563</v>
      </c>
      <c r="E208" s="958">
        <f>SUM(E209:E216)</f>
        <v>3035795</v>
      </c>
      <c r="F208" s="958">
        <f t="shared" ref="F208" si="121">SUM(F209:F216)</f>
        <v>3518795</v>
      </c>
      <c r="G208" s="959">
        <f t="shared" ref="G208" si="122">SUM(G209:G216)</f>
        <v>3518795</v>
      </c>
    </row>
    <row r="209" spans="1:10">
      <c r="A209" s="962">
        <v>3231</v>
      </c>
      <c r="B209" s="963" t="s">
        <v>37</v>
      </c>
      <c r="C209" s="943" t="s">
        <v>232</v>
      </c>
      <c r="D209" s="943" t="s">
        <v>234</v>
      </c>
      <c r="E209" s="886">
        <v>100795</v>
      </c>
      <c r="F209" s="886">
        <v>333795</v>
      </c>
      <c r="G209" s="906">
        <v>333795</v>
      </c>
    </row>
    <row r="210" spans="1:10">
      <c r="A210" s="962">
        <v>3232</v>
      </c>
      <c r="B210" s="963" t="s">
        <v>39</v>
      </c>
      <c r="C210" s="943" t="s">
        <v>232</v>
      </c>
      <c r="D210" s="967" t="s">
        <v>234</v>
      </c>
      <c r="E210" s="886">
        <v>100000</v>
      </c>
      <c r="F210" s="886">
        <v>400000</v>
      </c>
      <c r="G210" s="906">
        <v>400000</v>
      </c>
    </row>
    <row r="211" spans="1:10">
      <c r="A211" s="962">
        <v>3233</v>
      </c>
      <c r="B211" s="963" t="s">
        <v>41</v>
      </c>
      <c r="C211" s="943" t="s">
        <v>232</v>
      </c>
      <c r="D211" s="967" t="s">
        <v>234</v>
      </c>
      <c r="E211" s="886">
        <v>700000</v>
      </c>
      <c r="F211" s="886">
        <v>500000</v>
      </c>
      <c r="G211" s="906">
        <v>500000</v>
      </c>
    </row>
    <row r="212" spans="1:10">
      <c r="A212" s="962">
        <v>3234</v>
      </c>
      <c r="B212" s="963" t="s">
        <v>43</v>
      </c>
      <c r="C212" s="943" t="s">
        <v>232</v>
      </c>
      <c r="D212" s="967" t="s">
        <v>234</v>
      </c>
      <c r="E212" s="886">
        <v>130000</v>
      </c>
      <c r="F212" s="886">
        <v>130000</v>
      </c>
      <c r="G212" s="906">
        <v>130000</v>
      </c>
    </row>
    <row r="213" spans="1:10">
      <c r="A213" s="962">
        <v>3235</v>
      </c>
      <c r="B213" s="963" t="s">
        <v>45</v>
      </c>
      <c r="C213" s="943" t="s">
        <v>232</v>
      </c>
      <c r="D213" s="967" t="s">
        <v>234</v>
      </c>
      <c r="E213" s="886">
        <f>990000+635000</f>
        <v>1625000</v>
      </c>
      <c r="F213" s="886">
        <f t="shared" ref="F213:G213" si="123">990000+635000</f>
        <v>1625000</v>
      </c>
      <c r="G213" s="906">
        <f t="shared" si="123"/>
        <v>1625000</v>
      </c>
    </row>
    <row r="214" spans="1:10">
      <c r="A214" s="962">
        <v>3237</v>
      </c>
      <c r="B214" s="963" t="s">
        <v>49</v>
      </c>
      <c r="C214" s="943" t="s">
        <v>232</v>
      </c>
      <c r="D214" s="967" t="s">
        <v>234</v>
      </c>
      <c r="E214" s="886">
        <v>80000</v>
      </c>
      <c r="F214" s="886">
        <v>130000</v>
      </c>
      <c r="G214" s="906">
        <v>130000</v>
      </c>
    </row>
    <row r="215" spans="1:10">
      <c r="A215" s="962">
        <v>3238</v>
      </c>
      <c r="B215" s="963" t="s">
        <v>51</v>
      </c>
      <c r="C215" s="943" t="s">
        <v>232</v>
      </c>
      <c r="D215" s="967" t="s">
        <v>234</v>
      </c>
      <c r="E215" s="886">
        <v>150000</v>
      </c>
      <c r="F215" s="886">
        <v>250000</v>
      </c>
      <c r="G215" s="906">
        <v>250000</v>
      </c>
    </row>
    <row r="216" spans="1:10">
      <c r="A216" s="962">
        <v>3239</v>
      </c>
      <c r="B216" s="963" t="s">
        <v>53</v>
      </c>
      <c r="C216" s="943" t="s">
        <v>232</v>
      </c>
      <c r="D216" s="967" t="s">
        <v>234</v>
      </c>
      <c r="E216" s="886">
        <v>150000</v>
      </c>
      <c r="F216" s="886">
        <v>150000</v>
      </c>
      <c r="G216" s="906">
        <v>150000</v>
      </c>
    </row>
    <row r="217" spans="1:10">
      <c r="A217" s="941">
        <v>329</v>
      </c>
      <c r="B217" s="942" t="s">
        <v>58</v>
      </c>
      <c r="C217" s="948" t="s">
        <v>232</v>
      </c>
      <c r="D217" s="949" t="s">
        <v>234</v>
      </c>
      <c r="E217" s="958">
        <f>SUM(E218:E220)</f>
        <v>250000</v>
      </c>
      <c r="F217" s="958">
        <f t="shared" ref="F217:G217" si="124">SUM(F218:F220)</f>
        <v>300000</v>
      </c>
      <c r="G217" s="959">
        <f t="shared" si="124"/>
        <v>300000</v>
      </c>
    </row>
    <row r="218" spans="1:10">
      <c r="A218" s="962">
        <v>3293</v>
      </c>
      <c r="B218" s="963" t="s">
        <v>64</v>
      </c>
      <c r="C218" s="943" t="s">
        <v>232</v>
      </c>
      <c r="D218" s="945" t="s">
        <v>234</v>
      </c>
      <c r="E218" s="886">
        <v>50000</v>
      </c>
      <c r="F218" s="886">
        <v>50000</v>
      </c>
      <c r="G218" s="906">
        <v>50000</v>
      </c>
    </row>
    <row r="219" spans="1:10">
      <c r="A219" s="969">
        <v>3294</v>
      </c>
      <c r="B219" s="963" t="s">
        <v>360</v>
      </c>
      <c r="C219" s="943" t="s">
        <v>232</v>
      </c>
      <c r="D219" s="945" t="s">
        <v>234</v>
      </c>
      <c r="E219" s="886">
        <v>100000</v>
      </c>
      <c r="F219" s="886">
        <v>150000</v>
      </c>
      <c r="G219" s="906">
        <v>150000</v>
      </c>
    </row>
    <row r="220" spans="1:10" s="841" customFormat="1">
      <c r="A220" s="969">
        <v>3295</v>
      </c>
      <c r="B220" s="963" t="s">
        <v>68</v>
      </c>
      <c r="C220" s="943" t="s">
        <v>232</v>
      </c>
      <c r="D220" s="971" t="s">
        <v>234</v>
      </c>
      <c r="E220" s="970">
        <v>100000</v>
      </c>
      <c r="F220" s="970">
        <v>100000</v>
      </c>
      <c r="G220" s="972">
        <v>100000</v>
      </c>
    </row>
    <row r="221" spans="1:10">
      <c r="A221" s="964">
        <v>34</v>
      </c>
      <c r="B221" s="965" t="s">
        <v>478</v>
      </c>
      <c r="C221" s="937" t="s">
        <v>232</v>
      </c>
      <c r="D221" s="955" t="s">
        <v>234</v>
      </c>
      <c r="E221" s="954">
        <f t="shared" ref="E221:G222" si="125">E222</f>
        <v>6000</v>
      </c>
      <c r="F221" s="954">
        <f t="shared" si="125"/>
        <v>6000</v>
      </c>
      <c r="G221" s="956">
        <f t="shared" si="125"/>
        <v>6000</v>
      </c>
    </row>
    <row r="222" spans="1:10">
      <c r="A222" s="941">
        <v>343</v>
      </c>
      <c r="B222" s="942" t="s">
        <v>71</v>
      </c>
      <c r="C222" s="948" t="s">
        <v>232</v>
      </c>
      <c r="D222" s="949" t="s">
        <v>234</v>
      </c>
      <c r="E222" s="958">
        <f t="shared" si="125"/>
        <v>6000</v>
      </c>
      <c r="F222" s="958">
        <f t="shared" si="125"/>
        <v>6000</v>
      </c>
      <c r="G222" s="959">
        <f t="shared" si="125"/>
        <v>6000</v>
      </c>
    </row>
    <row r="223" spans="1:10">
      <c r="A223" s="962">
        <v>3431</v>
      </c>
      <c r="B223" s="963" t="s">
        <v>73</v>
      </c>
      <c r="C223" s="943" t="s">
        <v>232</v>
      </c>
      <c r="D223" s="945" t="s">
        <v>234</v>
      </c>
      <c r="E223" s="973">
        <v>6000</v>
      </c>
      <c r="F223" s="973">
        <v>6000</v>
      </c>
      <c r="G223" s="974">
        <v>6000</v>
      </c>
    </row>
    <row r="224" spans="1:10">
      <c r="A224" s="964">
        <v>37</v>
      </c>
      <c r="B224" s="965" t="s">
        <v>484</v>
      </c>
      <c r="C224" s="937" t="s">
        <v>232</v>
      </c>
      <c r="D224" s="955" t="s">
        <v>234</v>
      </c>
      <c r="E224" s="954">
        <f t="shared" ref="E224:G224" si="126">E225</f>
        <v>60000</v>
      </c>
      <c r="F224" s="954">
        <f t="shared" si="126"/>
        <v>140000</v>
      </c>
      <c r="G224" s="956">
        <f t="shared" si="126"/>
        <v>140000</v>
      </c>
      <c r="H224" s="22"/>
      <c r="I224" s="22"/>
      <c r="J224" s="22"/>
    </row>
    <row r="225" spans="1:10">
      <c r="A225" s="941">
        <v>372</v>
      </c>
      <c r="B225" s="942" t="s">
        <v>440</v>
      </c>
      <c r="C225" s="948" t="s">
        <v>232</v>
      </c>
      <c r="D225" s="949" t="s">
        <v>234</v>
      </c>
      <c r="E225" s="975">
        <f t="shared" ref="E225:G225" si="127">E226</f>
        <v>60000</v>
      </c>
      <c r="F225" s="975">
        <f t="shared" si="127"/>
        <v>140000</v>
      </c>
      <c r="G225" s="976">
        <f t="shared" si="127"/>
        <v>140000</v>
      </c>
    </row>
    <row r="226" spans="1:10">
      <c r="A226" s="962">
        <v>3723</v>
      </c>
      <c r="B226" s="963" t="s">
        <v>514</v>
      </c>
      <c r="C226" s="943" t="s">
        <v>232</v>
      </c>
      <c r="D226" s="945" t="s">
        <v>234</v>
      </c>
      <c r="E226" s="973">
        <v>60000</v>
      </c>
      <c r="F226" s="973">
        <v>140000</v>
      </c>
      <c r="G226" s="974">
        <v>140000</v>
      </c>
    </row>
    <row r="227" spans="1:10">
      <c r="A227" s="964">
        <v>41</v>
      </c>
      <c r="B227" s="965" t="s">
        <v>479</v>
      </c>
      <c r="C227" s="937" t="s">
        <v>232</v>
      </c>
      <c r="D227" s="955" t="s">
        <v>234</v>
      </c>
      <c r="E227" s="954">
        <f t="shared" ref="E227:G227" si="128">E228</f>
        <v>20000</v>
      </c>
      <c r="F227" s="954">
        <f t="shared" si="128"/>
        <v>20000</v>
      </c>
      <c r="G227" s="956">
        <f t="shared" si="128"/>
        <v>20000</v>
      </c>
      <c r="H227" s="22"/>
      <c r="I227" s="22"/>
      <c r="J227" s="22"/>
    </row>
    <row r="228" spans="1:10">
      <c r="A228" s="941">
        <v>412</v>
      </c>
      <c r="B228" s="942" t="s">
        <v>84</v>
      </c>
      <c r="C228" s="948" t="s">
        <v>232</v>
      </c>
      <c r="D228" s="949" t="s">
        <v>234</v>
      </c>
      <c r="E228" s="958">
        <f t="shared" ref="E228:G228" si="129">SUM(E229)</f>
        <v>20000</v>
      </c>
      <c r="F228" s="958">
        <f t="shared" si="129"/>
        <v>20000</v>
      </c>
      <c r="G228" s="959">
        <f t="shared" si="129"/>
        <v>20000</v>
      </c>
    </row>
    <row r="229" spans="1:10">
      <c r="A229" s="947">
        <v>4123</v>
      </c>
      <c r="B229" s="885" t="s">
        <v>86</v>
      </c>
      <c r="C229" s="943" t="s">
        <v>232</v>
      </c>
      <c r="D229" s="945" t="s">
        <v>234</v>
      </c>
      <c r="E229" s="886">
        <v>20000</v>
      </c>
      <c r="F229" s="886">
        <v>20000</v>
      </c>
      <c r="G229" s="906">
        <v>20000</v>
      </c>
    </row>
    <row r="230" spans="1:10">
      <c r="A230" s="964">
        <v>42</v>
      </c>
      <c r="B230" s="965" t="s">
        <v>480</v>
      </c>
      <c r="C230" s="937" t="s">
        <v>232</v>
      </c>
      <c r="D230" s="955" t="s">
        <v>234</v>
      </c>
      <c r="E230" s="954">
        <f>E231+E233</f>
        <v>1400000</v>
      </c>
      <c r="F230" s="954">
        <f>F231+F233</f>
        <v>300000</v>
      </c>
      <c r="G230" s="956">
        <f>G231+G233</f>
        <v>300000</v>
      </c>
    </row>
    <row r="231" spans="1:10">
      <c r="A231" s="941">
        <v>422</v>
      </c>
      <c r="B231" s="942" t="s">
        <v>89</v>
      </c>
      <c r="C231" s="948" t="s">
        <v>232</v>
      </c>
      <c r="D231" s="977">
        <v>563</v>
      </c>
      <c r="E231" s="958">
        <f>E232</f>
        <v>150000</v>
      </c>
      <c r="F231" s="958">
        <f t="shared" ref="F231:G231" si="130">F232</f>
        <v>150000</v>
      </c>
      <c r="G231" s="959">
        <f t="shared" si="130"/>
        <v>150000</v>
      </c>
    </row>
    <row r="232" spans="1:10">
      <c r="A232" s="947">
        <v>4221</v>
      </c>
      <c r="B232" s="885" t="s">
        <v>91</v>
      </c>
      <c r="C232" s="943" t="s">
        <v>232</v>
      </c>
      <c r="D232" s="945" t="s">
        <v>234</v>
      </c>
      <c r="E232" s="886">
        <v>150000</v>
      </c>
      <c r="F232" s="886">
        <v>150000</v>
      </c>
      <c r="G232" s="906">
        <v>150000</v>
      </c>
    </row>
    <row r="233" spans="1:10">
      <c r="A233" s="957">
        <v>426</v>
      </c>
      <c r="B233" s="966" t="s">
        <v>363</v>
      </c>
      <c r="C233" s="948" t="s">
        <v>232</v>
      </c>
      <c r="D233" s="949" t="s">
        <v>234</v>
      </c>
      <c r="E233" s="958">
        <f t="shared" ref="E233:G233" si="131">E234</f>
        <v>1250000</v>
      </c>
      <c r="F233" s="958">
        <f t="shared" si="131"/>
        <v>150000</v>
      </c>
      <c r="G233" s="959">
        <f t="shared" si="131"/>
        <v>150000</v>
      </c>
    </row>
    <row r="234" spans="1:10">
      <c r="A234" s="905">
        <v>4262</v>
      </c>
      <c r="B234" s="950" t="s">
        <v>182</v>
      </c>
      <c r="C234" s="943" t="s">
        <v>232</v>
      </c>
      <c r="D234" s="945" t="s">
        <v>234</v>
      </c>
      <c r="E234" s="886">
        <v>1250000</v>
      </c>
      <c r="F234" s="886">
        <v>150000</v>
      </c>
      <c r="G234" s="906">
        <v>150000</v>
      </c>
    </row>
    <row r="235" spans="1:10">
      <c r="A235" s="930" t="s">
        <v>386</v>
      </c>
      <c r="B235" s="931" t="s">
        <v>349</v>
      </c>
      <c r="C235" s="932" t="s">
        <v>232</v>
      </c>
      <c r="D235" s="933"/>
      <c r="E235" s="933">
        <f>E236+E246</f>
        <v>6540165</v>
      </c>
      <c r="F235" s="933">
        <f>F236+F246</f>
        <v>6163711</v>
      </c>
      <c r="G235" s="934">
        <f>G236+G246</f>
        <v>4625195</v>
      </c>
    </row>
    <row r="236" spans="1:10">
      <c r="A236" s="935">
        <v>32</v>
      </c>
      <c r="B236" s="936" t="s">
        <v>476</v>
      </c>
      <c r="C236" s="937" t="s">
        <v>232</v>
      </c>
      <c r="D236" s="955">
        <v>11</v>
      </c>
      <c r="E236" s="938">
        <f>E240+E237+E244</f>
        <v>2160000</v>
      </c>
      <c r="F236" s="938">
        <f>F240+F237+F244</f>
        <v>3360000</v>
      </c>
      <c r="G236" s="940">
        <f>G240+G237+G244</f>
        <v>3360000</v>
      </c>
    </row>
    <row r="237" spans="1:10">
      <c r="A237" s="941">
        <v>321</v>
      </c>
      <c r="B237" s="942" t="s">
        <v>17</v>
      </c>
      <c r="C237" s="948" t="s">
        <v>232</v>
      </c>
      <c r="D237" s="949" t="s">
        <v>0</v>
      </c>
      <c r="E237" s="944">
        <f>SUM(E238:E239)</f>
        <v>80000</v>
      </c>
      <c r="F237" s="944">
        <f>SUM(F238:F239)</f>
        <v>80000</v>
      </c>
      <c r="G237" s="946">
        <f>SUM(G238:G239)</f>
        <v>80000</v>
      </c>
    </row>
    <row r="238" spans="1:10">
      <c r="A238" s="947">
        <v>3211</v>
      </c>
      <c r="B238" s="885" t="s">
        <v>19</v>
      </c>
      <c r="C238" s="945" t="s">
        <v>232</v>
      </c>
      <c r="D238" s="945" t="s">
        <v>0</v>
      </c>
      <c r="E238" s="886">
        <v>40000</v>
      </c>
      <c r="F238" s="886">
        <v>40000</v>
      </c>
      <c r="G238" s="906">
        <v>40000</v>
      </c>
    </row>
    <row r="239" spans="1:10">
      <c r="A239" s="947">
        <v>3213</v>
      </c>
      <c r="B239" s="885" t="s">
        <v>23</v>
      </c>
      <c r="C239" s="945" t="s">
        <v>350</v>
      </c>
      <c r="D239" s="945" t="s">
        <v>0</v>
      </c>
      <c r="E239" s="886">
        <v>40000</v>
      </c>
      <c r="F239" s="886">
        <v>40000</v>
      </c>
      <c r="G239" s="906">
        <v>40000</v>
      </c>
    </row>
    <row r="240" spans="1:10">
      <c r="A240" s="941">
        <v>323</v>
      </c>
      <c r="B240" s="942" t="s">
        <v>35</v>
      </c>
      <c r="C240" s="945" t="s">
        <v>232</v>
      </c>
      <c r="D240" s="945" t="s">
        <v>0</v>
      </c>
      <c r="E240" s="958">
        <f>SUM(E241:E243)</f>
        <v>2050000</v>
      </c>
      <c r="F240" s="958">
        <f>SUM(F241:F243)</f>
        <v>3250000</v>
      </c>
      <c r="G240" s="959">
        <f>SUM(G241:G243)</f>
        <v>3250000</v>
      </c>
    </row>
    <row r="241" spans="1:7">
      <c r="A241" s="962">
        <v>3233</v>
      </c>
      <c r="B241" s="963" t="s">
        <v>41</v>
      </c>
      <c r="C241" s="943" t="s">
        <v>232</v>
      </c>
      <c r="D241" s="945" t="s">
        <v>0</v>
      </c>
      <c r="E241" s="886">
        <v>50000</v>
      </c>
      <c r="F241" s="886">
        <v>50000</v>
      </c>
      <c r="G241" s="906">
        <v>50000</v>
      </c>
    </row>
    <row r="242" spans="1:7">
      <c r="A242" s="905">
        <v>3237</v>
      </c>
      <c r="B242" s="885" t="s">
        <v>49</v>
      </c>
      <c r="C242" s="945" t="s">
        <v>232</v>
      </c>
      <c r="D242" s="945" t="s">
        <v>0</v>
      </c>
      <c r="E242" s="886">
        <v>2000000</v>
      </c>
      <c r="F242" s="886">
        <v>3100000</v>
      </c>
      <c r="G242" s="906">
        <v>3100000</v>
      </c>
    </row>
    <row r="243" spans="1:7">
      <c r="A243" s="905">
        <v>3238</v>
      </c>
      <c r="B243" s="885" t="s">
        <v>51</v>
      </c>
      <c r="C243" s="945" t="s">
        <v>232</v>
      </c>
      <c r="D243" s="945" t="s">
        <v>0</v>
      </c>
      <c r="E243" s="886">
        <v>0</v>
      </c>
      <c r="F243" s="886">
        <v>100000</v>
      </c>
      <c r="G243" s="906">
        <v>100000</v>
      </c>
    </row>
    <row r="244" spans="1:7">
      <c r="A244" s="941">
        <v>329</v>
      </c>
      <c r="B244" s="942" t="s">
        <v>58</v>
      </c>
      <c r="C244" s="943" t="s">
        <v>232</v>
      </c>
      <c r="D244" s="948" t="s">
        <v>0</v>
      </c>
      <c r="E244" s="944">
        <f t="shared" ref="E244:G244" si="132">E245</f>
        <v>30000</v>
      </c>
      <c r="F244" s="944">
        <f t="shared" si="132"/>
        <v>30000</v>
      </c>
      <c r="G244" s="946">
        <f t="shared" si="132"/>
        <v>30000</v>
      </c>
    </row>
    <row r="245" spans="1:7">
      <c r="A245" s="962">
        <v>3293</v>
      </c>
      <c r="B245" s="963" t="s">
        <v>64</v>
      </c>
      <c r="C245" s="943" t="s">
        <v>232</v>
      </c>
      <c r="D245" s="943" t="s">
        <v>0</v>
      </c>
      <c r="E245" s="960">
        <v>30000</v>
      </c>
      <c r="F245" s="960">
        <v>30000</v>
      </c>
      <c r="G245" s="961">
        <v>30000</v>
      </c>
    </row>
    <row r="246" spans="1:7">
      <c r="A246" s="935">
        <v>35</v>
      </c>
      <c r="B246" s="936" t="s">
        <v>487</v>
      </c>
      <c r="C246" s="955" t="s">
        <v>232</v>
      </c>
      <c r="D246" s="955" t="s">
        <v>0</v>
      </c>
      <c r="E246" s="938">
        <f>E247</f>
        <v>4380165</v>
      </c>
      <c r="F246" s="938">
        <f t="shared" ref="F246:G246" si="133">F247</f>
        <v>2803711</v>
      </c>
      <c r="G246" s="940">
        <f t="shared" si="133"/>
        <v>1265195</v>
      </c>
    </row>
    <row r="247" spans="1:7">
      <c r="A247" s="941">
        <v>352</v>
      </c>
      <c r="B247" s="942" t="s">
        <v>340</v>
      </c>
      <c r="C247" s="945" t="s">
        <v>232</v>
      </c>
      <c r="D247" s="978">
        <v>11</v>
      </c>
      <c r="E247" s="958">
        <f>SUM(E248:E248)</f>
        <v>4380165</v>
      </c>
      <c r="F247" s="958">
        <f>SUM(F248:F248)</f>
        <v>2803711</v>
      </c>
      <c r="G247" s="959">
        <f>SUM(G248:G248)</f>
        <v>1265195</v>
      </c>
    </row>
    <row r="248" spans="1:7" s="266" customFormat="1">
      <c r="A248" s="905">
        <v>3522</v>
      </c>
      <c r="B248" s="885" t="s">
        <v>198</v>
      </c>
      <c r="C248" s="945" t="s">
        <v>232</v>
      </c>
      <c r="D248" s="945" t="s">
        <v>0</v>
      </c>
      <c r="E248" s="886">
        <f>4695425-30000-144000-141260</f>
        <v>4380165</v>
      </c>
      <c r="F248" s="886">
        <f>3076465-30000-144000-98754</f>
        <v>2803711</v>
      </c>
      <c r="G248" s="906">
        <f>1504737-30000-144000-65542</f>
        <v>1265195</v>
      </c>
    </row>
    <row r="249" spans="1:7" s="266" customFormat="1">
      <c r="A249" s="930" t="s">
        <v>387</v>
      </c>
      <c r="B249" s="931" t="s">
        <v>505</v>
      </c>
      <c r="C249" s="932" t="s">
        <v>232</v>
      </c>
      <c r="D249" s="933"/>
      <c r="E249" s="933">
        <f>E250+E263</f>
        <v>4550000</v>
      </c>
      <c r="F249" s="933">
        <f>F250+F263</f>
        <v>6320000</v>
      </c>
      <c r="G249" s="934">
        <f>G250+G263</f>
        <v>7320000</v>
      </c>
    </row>
    <row r="250" spans="1:7" s="266" customFormat="1">
      <c r="A250" s="935">
        <v>32</v>
      </c>
      <c r="B250" s="936" t="s">
        <v>476</v>
      </c>
      <c r="C250" s="937" t="s">
        <v>232</v>
      </c>
      <c r="D250" s="939">
        <v>11</v>
      </c>
      <c r="E250" s="938">
        <f>E251+E253+E258+E260</f>
        <v>320000</v>
      </c>
      <c r="F250" s="938">
        <f>F251+F253+F258+F260</f>
        <v>320000</v>
      </c>
      <c r="G250" s="940">
        <f>G251+G253+G258+G260</f>
        <v>320000</v>
      </c>
    </row>
    <row r="251" spans="1:7">
      <c r="A251" s="941">
        <v>321</v>
      </c>
      <c r="B251" s="942" t="s">
        <v>17</v>
      </c>
      <c r="C251" s="948" t="s">
        <v>232</v>
      </c>
      <c r="D251" s="979">
        <v>11</v>
      </c>
      <c r="E251" s="944">
        <f>SUM(E252:E252)</f>
        <v>60000</v>
      </c>
      <c r="F251" s="944">
        <f>SUM(F252:F252)</f>
        <v>60000</v>
      </c>
      <c r="G251" s="946">
        <f>SUM(G252:G252)</f>
        <v>60000</v>
      </c>
    </row>
    <row r="252" spans="1:7" s="266" customFormat="1">
      <c r="A252" s="962">
        <v>3211</v>
      </c>
      <c r="B252" s="963" t="s">
        <v>19</v>
      </c>
      <c r="C252" s="943" t="s">
        <v>232</v>
      </c>
      <c r="D252" s="943" t="s">
        <v>0</v>
      </c>
      <c r="E252" s="886">
        <v>60000</v>
      </c>
      <c r="F252" s="886">
        <v>60000</v>
      </c>
      <c r="G252" s="906">
        <v>60000</v>
      </c>
    </row>
    <row r="253" spans="1:7" s="266" customFormat="1">
      <c r="A253" s="941">
        <v>323</v>
      </c>
      <c r="B253" s="942" t="s">
        <v>35</v>
      </c>
      <c r="C253" s="948" t="s">
        <v>232</v>
      </c>
      <c r="D253" s="948" t="s">
        <v>0</v>
      </c>
      <c r="E253" s="958">
        <f t="shared" ref="E253:F253" si="134">SUM(E254:E257)</f>
        <v>120000</v>
      </c>
      <c r="F253" s="958">
        <f t="shared" si="134"/>
        <v>120000</v>
      </c>
      <c r="G253" s="959">
        <f t="shared" ref="G253" si="135">SUM(G254:G257)</f>
        <v>120000</v>
      </c>
    </row>
    <row r="254" spans="1:7">
      <c r="A254" s="962">
        <v>3233</v>
      </c>
      <c r="B254" s="963" t="s">
        <v>41</v>
      </c>
      <c r="C254" s="943" t="s">
        <v>232</v>
      </c>
      <c r="D254" s="980" t="s">
        <v>0</v>
      </c>
      <c r="E254" s="886">
        <v>20000</v>
      </c>
      <c r="F254" s="886">
        <v>20000</v>
      </c>
      <c r="G254" s="906">
        <v>20000</v>
      </c>
    </row>
    <row r="255" spans="1:7">
      <c r="A255" s="962">
        <v>3235</v>
      </c>
      <c r="B255" s="963" t="s">
        <v>45</v>
      </c>
      <c r="C255" s="943" t="s">
        <v>232</v>
      </c>
      <c r="D255" s="943" t="s">
        <v>0</v>
      </c>
      <c r="E255" s="886">
        <v>20000</v>
      </c>
      <c r="F255" s="886">
        <v>20000</v>
      </c>
      <c r="G255" s="906">
        <v>20000</v>
      </c>
    </row>
    <row r="256" spans="1:7">
      <c r="A256" s="962">
        <v>3237</v>
      </c>
      <c r="B256" s="963" t="s">
        <v>49</v>
      </c>
      <c r="C256" s="943" t="s">
        <v>232</v>
      </c>
      <c r="D256" s="943" t="s">
        <v>0</v>
      </c>
      <c r="E256" s="886">
        <v>60000</v>
      </c>
      <c r="F256" s="886">
        <v>60000</v>
      </c>
      <c r="G256" s="906">
        <v>60000</v>
      </c>
    </row>
    <row r="257" spans="1:8">
      <c r="A257" s="962">
        <v>3239</v>
      </c>
      <c r="B257" s="963" t="s">
        <v>53</v>
      </c>
      <c r="C257" s="943" t="s">
        <v>232</v>
      </c>
      <c r="D257" s="943" t="s">
        <v>0</v>
      </c>
      <c r="E257" s="886">
        <v>20000</v>
      </c>
      <c r="F257" s="886">
        <v>20000</v>
      </c>
      <c r="G257" s="906">
        <v>20000</v>
      </c>
    </row>
    <row r="258" spans="1:8">
      <c r="A258" s="941">
        <v>324</v>
      </c>
      <c r="B258" s="942" t="s">
        <v>55</v>
      </c>
      <c r="C258" s="948" t="s">
        <v>232</v>
      </c>
      <c r="D258" s="979">
        <v>11</v>
      </c>
      <c r="E258" s="944">
        <f t="shared" ref="E258:G258" si="136">E259</f>
        <v>50000</v>
      </c>
      <c r="F258" s="944">
        <f t="shared" si="136"/>
        <v>50000</v>
      </c>
      <c r="G258" s="946">
        <f t="shared" si="136"/>
        <v>50000</v>
      </c>
    </row>
    <row r="259" spans="1:8">
      <c r="A259" s="962">
        <v>3241</v>
      </c>
      <c r="B259" s="963" t="s">
        <v>55</v>
      </c>
      <c r="C259" s="943" t="s">
        <v>232</v>
      </c>
      <c r="D259" s="980" t="s">
        <v>0</v>
      </c>
      <c r="E259" s="960">
        <v>50000</v>
      </c>
      <c r="F259" s="960">
        <v>50000</v>
      </c>
      <c r="G259" s="961">
        <v>50000</v>
      </c>
    </row>
    <row r="260" spans="1:8">
      <c r="A260" s="941">
        <v>329</v>
      </c>
      <c r="B260" s="942" t="s">
        <v>58</v>
      </c>
      <c r="C260" s="943" t="s">
        <v>232</v>
      </c>
      <c r="D260" s="948" t="s">
        <v>0</v>
      </c>
      <c r="E260" s="944">
        <f t="shared" ref="E260:F260" si="137">SUM(E261:E262)</f>
        <v>90000</v>
      </c>
      <c r="F260" s="944">
        <f t="shared" si="137"/>
        <v>90000</v>
      </c>
      <c r="G260" s="946">
        <f t="shared" ref="G260" si="138">SUM(G261:G262)</f>
        <v>90000</v>
      </c>
    </row>
    <row r="261" spans="1:8">
      <c r="A261" s="962">
        <v>3293</v>
      </c>
      <c r="B261" s="963" t="s">
        <v>64</v>
      </c>
      <c r="C261" s="943" t="s">
        <v>232</v>
      </c>
      <c r="D261" s="943" t="s">
        <v>0</v>
      </c>
      <c r="E261" s="960">
        <v>20000</v>
      </c>
      <c r="F261" s="981">
        <v>20000</v>
      </c>
      <c r="G261" s="982">
        <v>20000</v>
      </c>
    </row>
    <row r="262" spans="1:8">
      <c r="A262" s="969">
        <v>3294</v>
      </c>
      <c r="B262" s="963" t="s">
        <v>360</v>
      </c>
      <c r="C262" s="943" t="s">
        <v>232</v>
      </c>
      <c r="D262" s="943" t="s">
        <v>0</v>
      </c>
      <c r="E262" s="960">
        <v>70000</v>
      </c>
      <c r="F262" s="981">
        <v>70000</v>
      </c>
      <c r="G262" s="982">
        <v>70000</v>
      </c>
    </row>
    <row r="263" spans="1:8">
      <c r="A263" s="964">
        <v>35</v>
      </c>
      <c r="B263" s="965" t="s">
        <v>487</v>
      </c>
      <c r="C263" s="937" t="s">
        <v>232</v>
      </c>
      <c r="D263" s="937" t="s">
        <v>0</v>
      </c>
      <c r="E263" s="938">
        <f t="shared" ref="E263:G264" si="139">E264</f>
        <v>4230000</v>
      </c>
      <c r="F263" s="938">
        <f t="shared" si="139"/>
        <v>6000000</v>
      </c>
      <c r="G263" s="940">
        <f t="shared" si="139"/>
        <v>7000000</v>
      </c>
    </row>
    <row r="264" spans="1:8">
      <c r="A264" s="941">
        <v>352</v>
      </c>
      <c r="B264" s="942" t="s">
        <v>340</v>
      </c>
      <c r="C264" s="948" t="s">
        <v>232</v>
      </c>
      <c r="D264" s="979">
        <v>11</v>
      </c>
      <c r="E264" s="944">
        <f t="shared" si="139"/>
        <v>4230000</v>
      </c>
      <c r="F264" s="944">
        <f t="shared" si="139"/>
        <v>6000000</v>
      </c>
      <c r="G264" s="946">
        <f t="shared" si="139"/>
        <v>7000000</v>
      </c>
    </row>
    <row r="265" spans="1:8">
      <c r="A265" s="947">
        <v>3522</v>
      </c>
      <c r="B265" s="963" t="s">
        <v>198</v>
      </c>
      <c r="C265" s="943" t="s">
        <v>232</v>
      </c>
      <c r="D265" s="980" t="s">
        <v>0</v>
      </c>
      <c r="E265" s="960">
        <v>4230000</v>
      </c>
      <c r="F265" s="960">
        <v>6000000</v>
      </c>
      <c r="G265" s="961">
        <v>7000000</v>
      </c>
    </row>
    <row r="266" spans="1:8">
      <c r="A266" s="983" t="s">
        <v>389</v>
      </c>
      <c r="B266" s="984" t="s">
        <v>355</v>
      </c>
      <c r="C266" s="932" t="s">
        <v>350</v>
      </c>
      <c r="D266" s="933"/>
      <c r="E266" s="933">
        <f>E267</f>
        <v>600000</v>
      </c>
      <c r="F266" s="933">
        <f t="shared" ref="F266:G266" si="140">F267</f>
        <v>600000</v>
      </c>
      <c r="G266" s="934">
        <f t="shared" si="140"/>
        <v>600000</v>
      </c>
    </row>
    <row r="267" spans="1:8">
      <c r="A267" s="935">
        <v>32</v>
      </c>
      <c r="B267" s="936" t="s">
        <v>476</v>
      </c>
      <c r="C267" s="937" t="s">
        <v>350</v>
      </c>
      <c r="D267" s="955" t="s">
        <v>235</v>
      </c>
      <c r="E267" s="938">
        <f>E268+E271+E277+E279</f>
        <v>600000</v>
      </c>
      <c r="F267" s="938">
        <f>F268+F271+F277+F279</f>
        <v>600000</v>
      </c>
      <c r="G267" s="940">
        <f>G268+G271+G277+G279</f>
        <v>600000</v>
      </c>
      <c r="H267" s="22"/>
    </row>
    <row r="268" spans="1:8">
      <c r="A268" s="941">
        <v>321</v>
      </c>
      <c r="B268" s="942" t="s">
        <v>17</v>
      </c>
      <c r="C268" s="948" t="s">
        <v>350</v>
      </c>
      <c r="D268" s="949">
        <v>51</v>
      </c>
      <c r="E268" s="944">
        <f>SUM(E269:E270)</f>
        <v>210000</v>
      </c>
      <c r="F268" s="944">
        <f>SUM(F269:F270)</f>
        <v>210000</v>
      </c>
      <c r="G268" s="946">
        <f>SUM(G269:G270)</f>
        <v>210000</v>
      </c>
      <c r="H268" s="22"/>
    </row>
    <row r="269" spans="1:8">
      <c r="A269" s="947">
        <v>3211</v>
      </c>
      <c r="B269" s="885" t="s">
        <v>19</v>
      </c>
      <c r="C269" s="945" t="s">
        <v>350</v>
      </c>
      <c r="D269" s="945" t="s">
        <v>235</v>
      </c>
      <c r="E269" s="886">
        <v>150000</v>
      </c>
      <c r="F269" s="886">
        <v>150000</v>
      </c>
      <c r="G269" s="906">
        <v>150000</v>
      </c>
    </row>
    <row r="270" spans="1:8">
      <c r="A270" s="947">
        <v>3213</v>
      </c>
      <c r="B270" s="885" t="s">
        <v>23</v>
      </c>
      <c r="C270" s="945" t="s">
        <v>350</v>
      </c>
      <c r="D270" s="945" t="s">
        <v>235</v>
      </c>
      <c r="E270" s="886">
        <v>60000</v>
      </c>
      <c r="F270" s="886">
        <v>60000</v>
      </c>
      <c r="G270" s="906">
        <v>60000</v>
      </c>
    </row>
    <row r="271" spans="1:8">
      <c r="A271" s="941">
        <v>323</v>
      </c>
      <c r="B271" s="942" t="s">
        <v>35</v>
      </c>
      <c r="C271" s="949" t="s">
        <v>350</v>
      </c>
      <c r="D271" s="978">
        <v>51</v>
      </c>
      <c r="E271" s="958">
        <f>SUM(E272:E276)</f>
        <v>240000</v>
      </c>
      <c r="F271" s="958">
        <f>SUM(F272:F276)</f>
        <v>240000</v>
      </c>
      <c r="G271" s="959">
        <f>SUM(G272:G276)</f>
        <v>240000</v>
      </c>
    </row>
    <row r="272" spans="1:8">
      <c r="A272" s="947">
        <v>3233</v>
      </c>
      <c r="B272" s="885" t="s">
        <v>41</v>
      </c>
      <c r="C272" s="967" t="s">
        <v>350</v>
      </c>
      <c r="D272" s="945" t="s">
        <v>235</v>
      </c>
      <c r="E272" s="886">
        <v>100000</v>
      </c>
      <c r="F272" s="886">
        <v>100000</v>
      </c>
      <c r="G272" s="906">
        <v>100000</v>
      </c>
    </row>
    <row r="273" spans="1:7">
      <c r="A273" s="947">
        <v>3235</v>
      </c>
      <c r="B273" s="885" t="s">
        <v>45</v>
      </c>
      <c r="C273" s="967" t="s">
        <v>350</v>
      </c>
      <c r="D273" s="945" t="s">
        <v>235</v>
      </c>
      <c r="E273" s="886">
        <v>30000</v>
      </c>
      <c r="F273" s="886">
        <v>30000</v>
      </c>
      <c r="G273" s="906">
        <v>30000</v>
      </c>
    </row>
    <row r="274" spans="1:7">
      <c r="A274" s="947">
        <v>3237</v>
      </c>
      <c r="B274" s="885" t="s">
        <v>49</v>
      </c>
      <c r="C274" s="967" t="s">
        <v>350</v>
      </c>
      <c r="D274" s="945" t="s">
        <v>235</v>
      </c>
      <c r="E274" s="886">
        <v>50000</v>
      </c>
      <c r="F274" s="886">
        <v>50000</v>
      </c>
      <c r="G274" s="906">
        <v>50000</v>
      </c>
    </row>
    <row r="275" spans="1:7">
      <c r="A275" s="947">
        <v>3238</v>
      </c>
      <c r="B275" s="885" t="s">
        <v>51</v>
      </c>
      <c r="C275" s="967" t="s">
        <v>350</v>
      </c>
      <c r="D275" s="945" t="s">
        <v>235</v>
      </c>
      <c r="E275" s="886">
        <v>20000</v>
      </c>
      <c r="F275" s="886">
        <v>20000</v>
      </c>
      <c r="G275" s="906">
        <v>20000</v>
      </c>
    </row>
    <row r="276" spans="1:7">
      <c r="A276" s="947">
        <v>3239</v>
      </c>
      <c r="B276" s="885" t="s">
        <v>53</v>
      </c>
      <c r="C276" s="967" t="s">
        <v>350</v>
      </c>
      <c r="D276" s="945" t="s">
        <v>235</v>
      </c>
      <c r="E276" s="886">
        <v>40000</v>
      </c>
      <c r="F276" s="886">
        <v>40000</v>
      </c>
      <c r="G276" s="906">
        <v>40000</v>
      </c>
    </row>
    <row r="277" spans="1:7">
      <c r="A277" s="941">
        <v>324</v>
      </c>
      <c r="B277" s="942" t="s">
        <v>55</v>
      </c>
      <c r="C277" s="949" t="s">
        <v>350</v>
      </c>
      <c r="D277" s="949" t="s">
        <v>235</v>
      </c>
      <c r="E277" s="958">
        <f t="shared" ref="E277:G277" si="141">SUM(E278)</f>
        <v>50000</v>
      </c>
      <c r="F277" s="958">
        <f t="shared" si="141"/>
        <v>50000</v>
      </c>
      <c r="G277" s="959">
        <f t="shared" si="141"/>
        <v>50000</v>
      </c>
    </row>
    <row r="278" spans="1:7">
      <c r="A278" s="947">
        <v>3241</v>
      </c>
      <c r="B278" s="885" t="s">
        <v>55</v>
      </c>
      <c r="C278" s="967" t="s">
        <v>350</v>
      </c>
      <c r="D278" s="945" t="s">
        <v>235</v>
      </c>
      <c r="E278" s="886">
        <v>50000</v>
      </c>
      <c r="F278" s="886">
        <v>50000</v>
      </c>
      <c r="G278" s="906">
        <v>50000</v>
      </c>
    </row>
    <row r="279" spans="1:7">
      <c r="A279" s="941">
        <v>329</v>
      </c>
      <c r="B279" s="942" t="s">
        <v>58</v>
      </c>
      <c r="C279" s="949" t="s">
        <v>350</v>
      </c>
      <c r="D279" s="949" t="s">
        <v>235</v>
      </c>
      <c r="E279" s="958">
        <f>SUM(E280:E281)</f>
        <v>100000</v>
      </c>
      <c r="F279" s="958">
        <f>SUM(F280:F281)</f>
        <v>100000</v>
      </c>
      <c r="G279" s="959">
        <f>SUM(G280:G281)</f>
        <v>100000</v>
      </c>
    </row>
    <row r="280" spans="1:7">
      <c r="A280" s="947">
        <v>3293</v>
      </c>
      <c r="B280" s="885" t="s">
        <v>64</v>
      </c>
      <c r="C280" s="967" t="s">
        <v>350</v>
      </c>
      <c r="D280" s="945" t="s">
        <v>235</v>
      </c>
      <c r="E280" s="886">
        <v>80000</v>
      </c>
      <c r="F280" s="886">
        <v>80000</v>
      </c>
      <c r="G280" s="906">
        <v>80000</v>
      </c>
    </row>
    <row r="281" spans="1:7">
      <c r="A281" s="947">
        <v>3299</v>
      </c>
      <c r="B281" s="885" t="s">
        <v>58</v>
      </c>
      <c r="C281" s="967" t="s">
        <v>350</v>
      </c>
      <c r="D281" s="945" t="s">
        <v>235</v>
      </c>
      <c r="E281" s="886">
        <v>20000</v>
      </c>
      <c r="F281" s="886">
        <v>20000</v>
      </c>
      <c r="G281" s="906">
        <v>20000</v>
      </c>
    </row>
    <row r="282" spans="1:7">
      <c r="A282" s="930" t="s">
        <v>390</v>
      </c>
      <c r="B282" s="931" t="s">
        <v>547</v>
      </c>
      <c r="C282" s="932" t="s">
        <v>232</v>
      </c>
      <c r="D282" s="933"/>
      <c r="E282" s="933">
        <f>E283+E288+E309</f>
        <v>3183000</v>
      </c>
      <c r="F282" s="933">
        <f>F283+F288+F309</f>
        <v>4960080</v>
      </c>
      <c r="G282" s="934">
        <f>G283+G288+G309</f>
        <v>4962410</v>
      </c>
    </row>
    <row r="283" spans="1:7">
      <c r="A283" s="935">
        <v>31</v>
      </c>
      <c r="B283" s="936" t="s">
        <v>474</v>
      </c>
      <c r="C283" s="937" t="s">
        <v>232</v>
      </c>
      <c r="D283" s="955" t="s">
        <v>234</v>
      </c>
      <c r="E283" s="938">
        <f>E284+E286</f>
        <v>408000</v>
      </c>
      <c r="F283" s="938">
        <f t="shared" ref="F283:G283" si="142">F284+F286</f>
        <v>410080</v>
      </c>
      <c r="G283" s="940">
        <f t="shared" si="142"/>
        <v>412410</v>
      </c>
    </row>
    <row r="284" spans="1:7">
      <c r="A284" s="941">
        <v>311</v>
      </c>
      <c r="B284" s="942" t="s">
        <v>2</v>
      </c>
      <c r="C284" s="943" t="s">
        <v>232</v>
      </c>
      <c r="D284" s="951">
        <v>563</v>
      </c>
      <c r="E284" s="944">
        <f>SUM(E285:E285)</f>
        <v>350000</v>
      </c>
      <c r="F284" s="944">
        <f t="shared" ref="F284:G284" si="143">SUM(F285:F285)</f>
        <v>352000</v>
      </c>
      <c r="G284" s="946">
        <f t="shared" si="143"/>
        <v>354000</v>
      </c>
    </row>
    <row r="285" spans="1:7">
      <c r="A285" s="947">
        <v>3111</v>
      </c>
      <c r="B285" s="885" t="s">
        <v>4</v>
      </c>
      <c r="C285" s="943" t="s">
        <v>232</v>
      </c>
      <c r="D285" s="943" t="s">
        <v>234</v>
      </c>
      <c r="E285" s="960">
        <v>350000</v>
      </c>
      <c r="F285" s="960">
        <v>352000</v>
      </c>
      <c r="G285" s="961">
        <v>354000</v>
      </c>
    </row>
    <row r="286" spans="1:7">
      <c r="A286" s="941">
        <v>313</v>
      </c>
      <c r="B286" s="942" t="s">
        <v>11</v>
      </c>
      <c r="C286" s="948" t="s">
        <v>232</v>
      </c>
      <c r="D286" s="948" t="s">
        <v>234</v>
      </c>
      <c r="E286" s="944">
        <f>SUM(E287:E287)</f>
        <v>58000</v>
      </c>
      <c r="F286" s="944">
        <f>SUM(F287:F287)</f>
        <v>58080</v>
      </c>
      <c r="G286" s="946">
        <f>SUM(G287:G287)</f>
        <v>58410</v>
      </c>
    </row>
    <row r="287" spans="1:7">
      <c r="A287" s="947">
        <v>3132</v>
      </c>
      <c r="B287" s="885" t="s">
        <v>13</v>
      </c>
      <c r="C287" s="943" t="s">
        <v>232</v>
      </c>
      <c r="D287" s="943" t="s">
        <v>234</v>
      </c>
      <c r="E287" s="960">
        <v>58000</v>
      </c>
      <c r="F287" s="960">
        <f>F285*16.5%</f>
        <v>58080</v>
      </c>
      <c r="G287" s="961">
        <f>G285*16.5%</f>
        <v>58410</v>
      </c>
    </row>
    <row r="288" spans="1:7">
      <c r="A288" s="985">
        <v>-32</v>
      </c>
      <c r="B288" s="965" t="s">
        <v>476</v>
      </c>
      <c r="C288" s="937" t="s">
        <v>232</v>
      </c>
      <c r="D288" s="937" t="s">
        <v>234</v>
      </c>
      <c r="E288" s="938">
        <f>E289+E294+E297+E303+E305</f>
        <v>2375000</v>
      </c>
      <c r="F288" s="938">
        <f>F289+F294+F297+F303+F305</f>
        <v>4550000</v>
      </c>
      <c r="G288" s="940">
        <f>G289+G294+G297+G303+G305</f>
        <v>4550000</v>
      </c>
    </row>
    <row r="289" spans="1:10">
      <c r="A289" s="941">
        <v>321</v>
      </c>
      <c r="B289" s="942" t="s">
        <v>17</v>
      </c>
      <c r="C289" s="948" t="s">
        <v>232</v>
      </c>
      <c r="D289" s="948">
        <v>563</v>
      </c>
      <c r="E289" s="944">
        <f t="shared" ref="E289:F289" si="144">SUM(E290:E293)</f>
        <v>330000</v>
      </c>
      <c r="F289" s="944">
        <f t="shared" si="144"/>
        <v>430000</v>
      </c>
      <c r="G289" s="946">
        <f t="shared" ref="G289" si="145">SUM(G290:G293)</f>
        <v>430000</v>
      </c>
      <c r="H289" s="22"/>
      <c r="I289" s="22"/>
      <c r="J289" s="22"/>
    </row>
    <row r="290" spans="1:10">
      <c r="A290" s="947">
        <v>3211</v>
      </c>
      <c r="B290" s="885" t="s">
        <v>19</v>
      </c>
      <c r="C290" s="943" t="s">
        <v>232</v>
      </c>
      <c r="D290" s="943" t="s">
        <v>234</v>
      </c>
      <c r="E290" s="960">
        <v>100000</v>
      </c>
      <c r="F290" s="960">
        <v>200000</v>
      </c>
      <c r="G290" s="961">
        <v>200000</v>
      </c>
    </row>
    <row r="291" spans="1:10">
      <c r="A291" s="947">
        <v>3212</v>
      </c>
      <c r="B291" s="885" t="s">
        <v>21</v>
      </c>
      <c r="C291" s="943" t="s">
        <v>232</v>
      </c>
      <c r="D291" s="943" t="s">
        <v>234</v>
      </c>
      <c r="E291" s="960">
        <v>30000</v>
      </c>
      <c r="F291" s="960">
        <v>30000</v>
      </c>
      <c r="G291" s="961">
        <v>30000</v>
      </c>
    </row>
    <row r="292" spans="1:10">
      <c r="A292" s="947">
        <v>3213</v>
      </c>
      <c r="B292" s="885" t="s">
        <v>23</v>
      </c>
      <c r="C292" s="943" t="s">
        <v>232</v>
      </c>
      <c r="D292" s="943" t="s">
        <v>234</v>
      </c>
      <c r="E292" s="960">
        <v>150000</v>
      </c>
      <c r="F292" s="960">
        <v>150000</v>
      </c>
      <c r="G292" s="961">
        <v>150000</v>
      </c>
    </row>
    <row r="293" spans="1:10">
      <c r="A293" s="962">
        <v>3214</v>
      </c>
      <c r="B293" s="963" t="s">
        <v>335</v>
      </c>
      <c r="C293" s="943" t="s">
        <v>232</v>
      </c>
      <c r="D293" s="943" t="s">
        <v>234</v>
      </c>
      <c r="E293" s="960">
        <v>50000</v>
      </c>
      <c r="F293" s="960">
        <v>50000</v>
      </c>
      <c r="G293" s="961">
        <v>50000</v>
      </c>
    </row>
    <row r="294" spans="1:10">
      <c r="A294" s="941">
        <v>322</v>
      </c>
      <c r="B294" s="942" t="s">
        <v>25</v>
      </c>
      <c r="C294" s="948" t="s">
        <v>232</v>
      </c>
      <c r="D294" s="948" t="s">
        <v>234</v>
      </c>
      <c r="E294" s="944">
        <f>SUM(E295:E296)</f>
        <v>60000</v>
      </c>
      <c r="F294" s="944">
        <f>SUM(F295:F296)</f>
        <v>130000</v>
      </c>
      <c r="G294" s="946">
        <f>SUM(G295:G296)</f>
        <v>130000</v>
      </c>
    </row>
    <row r="295" spans="1:10">
      <c r="A295" s="947">
        <v>3221</v>
      </c>
      <c r="B295" s="885" t="s">
        <v>27</v>
      </c>
      <c r="C295" s="943" t="s">
        <v>232</v>
      </c>
      <c r="D295" s="943" t="s">
        <v>234</v>
      </c>
      <c r="E295" s="960">
        <v>30000</v>
      </c>
      <c r="F295" s="960">
        <v>65000</v>
      </c>
      <c r="G295" s="961">
        <v>65000</v>
      </c>
    </row>
    <row r="296" spans="1:10">
      <c r="A296" s="947">
        <v>3223</v>
      </c>
      <c r="B296" s="950" t="s">
        <v>29</v>
      </c>
      <c r="C296" s="943" t="s">
        <v>232</v>
      </c>
      <c r="D296" s="943" t="s">
        <v>234</v>
      </c>
      <c r="E296" s="960">
        <v>30000</v>
      </c>
      <c r="F296" s="960">
        <v>65000</v>
      </c>
      <c r="G296" s="961">
        <v>65000</v>
      </c>
    </row>
    <row r="297" spans="1:10">
      <c r="A297" s="941">
        <v>323</v>
      </c>
      <c r="B297" s="942" t="s">
        <v>35</v>
      </c>
      <c r="C297" s="948" t="s">
        <v>232</v>
      </c>
      <c r="D297" s="948">
        <v>563</v>
      </c>
      <c r="E297" s="944">
        <f>SUM(E298:E302)</f>
        <v>785000</v>
      </c>
      <c r="F297" s="944">
        <f>SUM(F298:F302)</f>
        <v>1790000</v>
      </c>
      <c r="G297" s="946">
        <f>SUM(G298:G302)</f>
        <v>1790000</v>
      </c>
    </row>
    <row r="298" spans="1:10">
      <c r="A298" s="947">
        <v>3231</v>
      </c>
      <c r="B298" s="885" t="s">
        <v>37</v>
      </c>
      <c r="C298" s="943" t="s">
        <v>232</v>
      </c>
      <c r="D298" s="943" t="s">
        <v>234</v>
      </c>
      <c r="E298" s="960">
        <v>15000</v>
      </c>
      <c r="F298" s="960">
        <v>20000</v>
      </c>
      <c r="G298" s="961">
        <v>20000</v>
      </c>
    </row>
    <row r="299" spans="1:10">
      <c r="A299" s="947">
        <v>3233</v>
      </c>
      <c r="B299" s="885" t="s">
        <v>41</v>
      </c>
      <c r="C299" s="943" t="s">
        <v>232</v>
      </c>
      <c r="D299" s="943" t="s">
        <v>234</v>
      </c>
      <c r="E299" s="960">
        <v>200000</v>
      </c>
      <c r="F299" s="960">
        <v>200000</v>
      </c>
      <c r="G299" s="961">
        <v>200000</v>
      </c>
    </row>
    <row r="300" spans="1:10">
      <c r="A300" s="947">
        <v>3237</v>
      </c>
      <c r="B300" s="885" t="s">
        <v>49</v>
      </c>
      <c r="C300" s="943" t="s">
        <v>232</v>
      </c>
      <c r="D300" s="943" t="s">
        <v>234</v>
      </c>
      <c r="E300" s="960">
        <v>500000</v>
      </c>
      <c r="F300" s="960">
        <v>1500000</v>
      </c>
      <c r="G300" s="961">
        <v>1500000</v>
      </c>
    </row>
    <row r="301" spans="1:10">
      <c r="A301" s="947">
        <v>3238</v>
      </c>
      <c r="B301" s="885" t="s">
        <v>51</v>
      </c>
      <c r="C301" s="943" t="s">
        <v>232</v>
      </c>
      <c r="D301" s="943" t="s">
        <v>234</v>
      </c>
      <c r="E301" s="960">
        <v>20000</v>
      </c>
      <c r="F301" s="960">
        <v>20000</v>
      </c>
      <c r="G301" s="961">
        <v>20000</v>
      </c>
    </row>
    <row r="302" spans="1:10">
      <c r="A302" s="947">
        <v>3239</v>
      </c>
      <c r="B302" s="885" t="s">
        <v>53</v>
      </c>
      <c r="C302" s="943" t="s">
        <v>232</v>
      </c>
      <c r="D302" s="943" t="s">
        <v>234</v>
      </c>
      <c r="E302" s="960">
        <v>50000</v>
      </c>
      <c r="F302" s="960">
        <v>50000</v>
      </c>
      <c r="G302" s="961">
        <v>50000</v>
      </c>
    </row>
    <row r="303" spans="1:10">
      <c r="A303" s="941">
        <v>324</v>
      </c>
      <c r="B303" s="942" t="s">
        <v>55</v>
      </c>
      <c r="C303" s="948" t="s">
        <v>232</v>
      </c>
      <c r="D303" s="948" t="s">
        <v>234</v>
      </c>
      <c r="E303" s="944">
        <f>SUM(E304:E304)</f>
        <v>1000000</v>
      </c>
      <c r="F303" s="944">
        <f>SUM(F304:F304)</f>
        <v>2000000</v>
      </c>
      <c r="G303" s="946">
        <f>SUM(G304:G304)</f>
        <v>2000000</v>
      </c>
    </row>
    <row r="304" spans="1:10">
      <c r="A304" s="969">
        <v>3241</v>
      </c>
      <c r="B304" s="963" t="s">
        <v>55</v>
      </c>
      <c r="C304" s="943" t="s">
        <v>232</v>
      </c>
      <c r="D304" s="943" t="s">
        <v>234</v>
      </c>
      <c r="E304" s="960">
        <v>1000000</v>
      </c>
      <c r="F304" s="960">
        <v>2000000</v>
      </c>
      <c r="G304" s="961">
        <v>2000000</v>
      </c>
    </row>
    <row r="305" spans="1:10">
      <c r="A305" s="941">
        <v>329</v>
      </c>
      <c r="B305" s="942" t="s">
        <v>58</v>
      </c>
      <c r="C305" s="948" t="s">
        <v>232</v>
      </c>
      <c r="D305" s="948" t="s">
        <v>234</v>
      </c>
      <c r="E305" s="944">
        <f>SUM(E306:E308)</f>
        <v>200000</v>
      </c>
      <c r="F305" s="944">
        <f>SUM(F306:F308)</f>
        <v>200000</v>
      </c>
      <c r="G305" s="946">
        <f>SUM(G306:G308)</f>
        <v>200000</v>
      </c>
    </row>
    <row r="306" spans="1:10">
      <c r="A306" s="962">
        <v>3293</v>
      </c>
      <c r="B306" s="963" t="s">
        <v>64</v>
      </c>
      <c r="C306" s="943" t="s">
        <v>232</v>
      </c>
      <c r="D306" s="943" t="s">
        <v>234</v>
      </c>
      <c r="E306" s="960">
        <v>50000</v>
      </c>
      <c r="F306" s="960">
        <v>50000</v>
      </c>
      <c r="G306" s="961">
        <v>50000</v>
      </c>
    </row>
    <row r="307" spans="1:10">
      <c r="A307" s="905">
        <v>3295</v>
      </c>
      <c r="B307" s="885" t="s">
        <v>68</v>
      </c>
      <c r="C307" s="943" t="s">
        <v>232</v>
      </c>
      <c r="D307" s="943" t="s">
        <v>234</v>
      </c>
      <c r="E307" s="960">
        <v>100000</v>
      </c>
      <c r="F307" s="960">
        <v>100000</v>
      </c>
      <c r="G307" s="961">
        <v>100000</v>
      </c>
    </row>
    <row r="308" spans="1:10">
      <c r="A308" s="905">
        <v>3299</v>
      </c>
      <c r="B308" s="885" t="s">
        <v>58</v>
      </c>
      <c r="C308" s="943" t="s">
        <v>232</v>
      </c>
      <c r="D308" s="943" t="s">
        <v>234</v>
      </c>
      <c r="E308" s="960">
        <v>50000</v>
      </c>
      <c r="F308" s="960">
        <v>50000</v>
      </c>
      <c r="G308" s="961">
        <v>50000</v>
      </c>
    </row>
    <row r="309" spans="1:10">
      <c r="A309" s="935">
        <v>42</v>
      </c>
      <c r="B309" s="936" t="s">
        <v>480</v>
      </c>
      <c r="C309" s="936" t="s">
        <v>232</v>
      </c>
      <c r="D309" s="936" t="s">
        <v>234</v>
      </c>
      <c r="E309" s="986">
        <f t="shared" ref="E309:G309" si="146">E310</f>
        <v>400000</v>
      </c>
      <c r="F309" s="986">
        <f t="shared" si="146"/>
        <v>0</v>
      </c>
      <c r="G309" s="987">
        <f t="shared" si="146"/>
        <v>0</v>
      </c>
    </row>
    <row r="310" spans="1:10">
      <c r="A310" s="941">
        <v>422</v>
      </c>
      <c r="B310" s="942" t="s">
        <v>89</v>
      </c>
      <c r="C310" s="948" t="s">
        <v>232</v>
      </c>
      <c r="D310" s="948">
        <v>563</v>
      </c>
      <c r="E310" s="944">
        <f t="shared" ref="E310:F310" si="147">SUM(E311:E312)</f>
        <v>400000</v>
      </c>
      <c r="F310" s="944">
        <f t="shared" si="147"/>
        <v>0</v>
      </c>
      <c r="G310" s="946">
        <f t="shared" ref="G310" si="148">SUM(G311:G312)</f>
        <v>0</v>
      </c>
    </row>
    <row r="311" spans="1:10">
      <c r="A311" s="947">
        <v>4221</v>
      </c>
      <c r="B311" s="885" t="s">
        <v>91</v>
      </c>
      <c r="C311" s="943" t="s">
        <v>232</v>
      </c>
      <c r="D311" s="943" t="s">
        <v>234</v>
      </c>
      <c r="E311" s="960">
        <v>200000</v>
      </c>
      <c r="F311" s="960">
        <v>0</v>
      </c>
      <c r="G311" s="961">
        <v>0</v>
      </c>
    </row>
    <row r="312" spans="1:10">
      <c r="A312" s="905">
        <v>4222</v>
      </c>
      <c r="B312" s="885" t="s">
        <v>93</v>
      </c>
      <c r="C312" s="943" t="s">
        <v>232</v>
      </c>
      <c r="D312" s="943" t="s">
        <v>234</v>
      </c>
      <c r="E312" s="960">
        <v>200000</v>
      </c>
      <c r="F312" s="960">
        <v>0</v>
      </c>
      <c r="G312" s="961">
        <v>0</v>
      </c>
    </row>
    <row r="313" spans="1:10">
      <c r="A313" s="930" t="s">
        <v>391</v>
      </c>
      <c r="B313" s="988" t="s">
        <v>356</v>
      </c>
      <c r="C313" s="932" t="s">
        <v>232</v>
      </c>
      <c r="D313" s="933"/>
      <c r="E313" s="933">
        <f>E314+E315+E330+E331+E362+E363</f>
        <v>2450382</v>
      </c>
      <c r="F313" s="933">
        <f t="shared" ref="F313:G313" si="149">F314+F315+F330+F331+F362+F363</f>
        <v>1641509</v>
      </c>
      <c r="G313" s="934">
        <f t="shared" si="149"/>
        <v>1354943</v>
      </c>
    </row>
    <row r="314" spans="1:10">
      <c r="A314" s="935">
        <v>31</v>
      </c>
      <c r="B314" s="936" t="s">
        <v>474</v>
      </c>
      <c r="C314" s="937" t="s">
        <v>232</v>
      </c>
      <c r="D314" s="955" t="s">
        <v>82</v>
      </c>
      <c r="E314" s="938">
        <f t="shared" ref="E314:G315" si="150">E316+E320+E324</f>
        <v>149668</v>
      </c>
      <c r="F314" s="938">
        <f t="shared" si="150"/>
        <v>91729</v>
      </c>
      <c r="G314" s="940">
        <f t="shared" si="150"/>
        <v>83115</v>
      </c>
    </row>
    <row r="315" spans="1:10">
      <c r="A315" s="935">
        <v>31</v>
      </c>
      <c r="B315" s="936" t="s">
        <v>474</v>
      </c>
      <c r="C315" s="937" t="s">
        <v>232</v>
      </c>
      <c r="D315" s="955" t="s">
        <v>315</v>
      </c>
      <c r="E315" s="938">
        <f t="shared" si="150"/>
        <v>996764</v>
      </c>
      <c r="F315" s="938">
        <f t="shared" si="150"/>
        <v>508330</v>
      </c>
      <c r="G315" s="940">
        <f t="shared" si="150"/>
        <v>437878</v>
      </c>
      <c r="H315" s="22"/>
      <c r="I315" s="22"/>
      <c r="J315" s="22"/>
    </row>
    <row r="316" spans="1:10">
      <c r="A316" s="941">
        <v>311</v>
      </c>
      <c r="B316" s="942" t="s">
        <v>2</v>
      </c>
      <c r="C316" s="949" t="s">
        <v>232</v>
      </c>
      <c r="D316" s="989" t="s">
        <v>82</v>
      </c>
      <c r="E316" s="958">
        <f>E318</f>
        <v>115133</v>
      </c>
      <c r="F316" s="958">
        <f t="shared" ref="F316" si="151">F318</f>
        <v>63717</v>
      </c>
      <c r="G316" s="959">
        <f t="shared" ref="G316" si="152">G318</f>
        <v>64035</v>
      </c>
    </row>
    <row r="317" spans="1:10">
      <c r="A317" s="941">
        <v>311</v>
      </c>
      <c r="B317" s="942" t="s">
        <v>2</v>
      </c>
      <c r="C317" s="949" t="s">
        <v>232</v>
      </c>
      <c r="D317" s="949">
        <v>559</v>
      </c>
      <c r="E317" s="958">
        <f>E319</f>
        <v>780145</v>
      </c>
      <c r="F317" s="958">
        <f t="shared" ref="F317" si="153">F319</f>
        <v>327630</v>
      </c>
      <c r="G317" s="959">
        <f t="shared" ref="G317" si="154">G319</f>
        <v>330000</v>
      </c>
    </row>
    <row r="318" spans="1:10">
      <c r="A318" s="947">
        <v>3111</v>
      </c>
      <c r="B318" s="885" t="s">
        <v>4</v>
      </c>
      <c r="C318" s="967" t="s">
        <v>232</v>
      </c>
      <c r="D318" s="945" t="s">
        <v>82</v>
      </c>
      <c r="E318" s="886">
        <f>63400+37840+13893</f>
        <v>115133</v>
      </c>
      <c r="F318" s="886">
        <v>63717</v>
      </c>
      <c r="G318" s="906">
        <v>64035</v>
      </c>
      <c r="H318" s="789"/>
    </row>
    <row r="319" spans="1:10">
      <c r="A319" s="947">
        <v>3111</v>
      </c>
      <c r="B319" s="885" t="s">
        <v>4</v>
      </c>
      <c r="C319" s="967" t="s">
        <v>232</v>
      </c>
      <c r="D319" s="967" t="s">
        <v>315</v>
      </c>
      <c r="E319" s="886">
        <f>359000+342420+78725</f>
        <v>780145</v>
      </c>
      <c r="F319" s="886">
        <f>327630</f>
        <v>327630</v>
      </c>
      <c r="G319" s="906">
        <v>330000</v>
      </c>
    </row>
    <row r="320" spans="1:10">
      <c r="A320" s="941">
        <v>312</v>
      </c>
      <c r="B320" s="942" t="s">
        <v>8</v>
      </c>
      <c r="C320" s="949" t="s">
        <v>232</v>
      </c>
      <c r="D320" s="949" t="s">
        <v>82</v>
      </c>
      <c r="E320" s="958">
        <f>E322</f>
        <v>15000</v>
      </c>
      <c r="F320" s="958">
        <f t="shared" ref="F320" si="155">F322</f>
        <v>7500</v>
      </c>
      <c r="G320" s="959">
        <f t="shared" ref="G320" si="156">G322</f>
        <v>7500</v>
      </c>
    </row>
    <row r="321" spans="1:7">
      <c r="A321" s="941">
        <v>312</v>
      </c>
      <c r="B321" s="942" t="s">
        <v>8</v>
      </c>
      <c r="C321" s="949" t="s">
        <v>232</v>
      </c>
      <c r="D321" s="949" t="s">
        <v>315</v>
      </c>
      <c r="E321" s="958">
        <f t="shared" ref="E321:F321" si="157">E323</f>
        <v>85000</v>
      </c>
      <c r="F321" s="958">
        <f t="shared" si="157"/>
        <v>42500</v>
      </c>
      <c r="G321" s="959">
        <f t="shared" ref="G321" si="158">G323</f>
        <v>42500</v>
      </c>
    </row>
    <row r="322" spans="1:7">
      <c r="A322" s="947">
        <v>3121</v>
      </c>
      <c r="B322" s="885" t="s">
        <v>8</v>
      </c>
      <c r="C322" s="967" t="s">
        <v>232</v>
      </c>
      <c r="D322" s="967" t="s">
        <v>82</v>
      </c>
      <c r="E322" s="990">
        <v>15000</v>
      </c>
      <c r="F322" s="990">
        <v>7500</v>
      </c>
      <c r="G322" s="991">
        <v>7500</v>
      </c>
    </row>
    <row r="323" spans="1:7">
      <c r="A323" s="905">
        <v>3121</v>
      </c>
      <c r="B323" s="885" t="s">
        <v>8</v>
      </c>
      <c r="C323" s="967" t="s">
        <v>232</v>
      </c>
      <c r="D323" s="967" t="s">
        <v>315</v>
      </c>
      <c r="E323" s="990">
        <v>85000</v>
      </c>
      <c r="F323" s="990">
        <v>42500</v>
      </c>
      <c r="G323" s="991">
        <v>42500</v>
      </c>
    </row>
    <row r="324" spans="1:7">
      <c r="A324" s="941">
        <v>313</v>
      </c>
      <c r="B324" s="942" t="s">
        <v>11</v>
      </c>
      <c r="C324" s="949" t="s">
        <v>232</v>
      </c>
      <c r="D324" s="949" t="s">
        <v>82</v>
      </c>
      <c r="E324" s="958">
        <f t="shared" ref="E324:G325" si="159">E326+E328</f>
        <v>19535</v>
      </c>
      <c r="F324" s="958">
        <f t="shared" si="159"/>
        <v>20512</v>
      </c>
      <c r="G324" s="959">
        <f t="shared" si="159"/>
        <v>11580</v>
      </c>
    </row>
    <row r="325" spans="1:7">
      <c r="A325" s="941">
        <v>313</v>
      </c>
      <c r="B325" s="942" t="s">
        <v>11</v>
      </c>
      <c r="C325" s="949" t="s">
        <v>232</v>
      </c>
      <c r="D325" s="949" t="s">
        <v>315</v>
      </c>
      <c r="E325" s="958">
        <f t="shared" si="159"/>
        <v>131619</v>
      </c>
      <c r="F325" s="958">
        <f t="shared" si="159"/>
        <v>138200</v>
      </c>
      <c r="G325" s="959">
        <f t="shared" si="159"/>
        <v>65378</v>
      </c>
    </row>
    <row r="326" spans="1:7">
      <c r="A326" s="947">
        <v>3132</v>
      </c>
      <c r="B326" s="885" t="s">
        <v>13</v>
      </c>
      <c r="C326" s="967" t="s">
        <v>232</v>
      </c>
      <c r="D326" s="945" t="s">
        <v>82</v>
      </c>
      <c r="E326" s="886">
        <f>10500+6290+2745</f>
        <v>19535</v>
      </c>
      <c r="F326" s="886">
        <v>20512</v>
      </c>
      <c r="G326" s="906">
        <v>11580</v>
      </c>
    </row>
    <row r="327" spans="1:7">
      <c r="A327" s="947">
        <v>3132</v>
      </c>
      <c r="B327" s="885" t="s">
        <v>13</v>
      </c>
      <c r="C327" s="967" t="s">
        <v>232</v>
      </c>
      <c r="D327" s="967" t="s">
        <v>315</v>
      </c>
      <c r="E327" s="886">
        <f>59300+56762+15557</f>
        <v>131619</v>
      </c>
      <c r="F327" s="886">
        <v>138200</v>
      </c>
      <c r="G327" s="906">
        <v>65378</v>
      </c>
    </row>
    <row r="328" spans="1:7">
      <c r="A328" s="947">
        <v>3133</v>
      </c>
      <c r="B328" s="885" t="s">
        <v>293</v>
      </c>
      <c r="C328" s="967" t="s">
        <v>232</v>
      </c>
      <c r="D328" s="945" t="s">
        <v>82</v>
      </c>
      <c r="E328" s="886">
        <v>0</v>
      </c>
      <c r="F328" s="886">
        <v>0</v>
      </c>
      <c r="G328" s="906">
        <v>0</v>
      </c>
    </row>
    <row r="329" spans="1:7">
      <c r="A329" s="947">
        <v>3133</v>
      </c>
      <c r="B329" s="885" t="s">
        <v>293</v>
      </c>
      <c r="C329" s="967" t="s">
        <v>232</v>
      </c>
      <c r="D329" s="967" t="s">
        <v>315</v>
      </c>
      <c r="E329" s="886">
        <v>0</v>
      </c>
      <c r="F329" s="886">
        <v>0</v>
      </c>
      <c r="G329" s="906">
        <v>0</v>
      </c>
    </row>
    <row r="330" spans="1:7">
      <c r="A330" s="985">
        <v>-32</v>
      </c>
      <c r="B330" s="965" t="s">
        <v>476</v>
      </c>
      <c r="C330" s="937" t="s">
        <v>232</v>
      </c>
      <c r="D330" s="937" t="s">
        <v>82</v>
      </c>
      <c r="E330" s="938">
        <f t="shared" ref="E330:G331" si="160">E332+E338+E342+E354+E358</f>
        <v>193292</v>
      </c>
      <c r="F330" s="938">
        <f t="shared" si="160"/>
        <v>156267</v>
      </c>
      <c r="G330" s="940">
        <f t="shared" si="160"/>
        <v>125142</v>
      </c>
    </row>
    <row r="331" spans="1:7">
      <c r="A331" s="964">
        <v>-32</v>
      </c>
      <c r="B331" s="965" t="s">
        <v>476</v>
      </c>
      <c r="C331" s="937" t="s">
        <v>232</v>
      </c>
      <c r="D331" s="937" t="s">
        <v>315</v>
      </c>
      <c r="E331" s="938">
        <f t="shared" si="160"/>
        <v>1095658</v>
      </c>
      <c r="F331" s="938">
        <f t="shared" si="160"/>
        <v>885183</v>
      </c>
      <c r="G331" s="940">
        <f t="shared" si="160"/>
        <v>708808</v>
      </c>
    </row>
    <row r="332" spans="1:7">
      <c r="A332" s="941">
        <v>321</v>
      </c>
      <c r="B332" s="942" t="s">
        <v>17</v>
      </c>
      <c r="C332" s="949" t="s">
        <v>232</v>
      </c>
      <c r="D332" s="949" t="s">
        <v>82</v>
      </c>
      <c r="E332" s="992">
        <f>E334+E336</f>
        <v>76867</v>
      </c>
      <c r="F332" s="992">
        <f t="shared" ref="F332:G332" si="161">F334+F336</f>
        <v>59767</v>
      </c>
      <c r="G332" s="993">
        <f t="shared" si="161"/>
        <v>48517</v>
      </c>
    </row>
    <row r="333" spans="1:7">
      <c r="A333" s="941">
        <v>321</v>
      </c>
      <c r="B333" s="942" t="s">
        <v>17</v>
      </c>
      <c r="C333" s="949" t="s">
        <v>232</v>
      </c>
      <c r="D333" s="949" t="s">
        <v>315</v>
      </c>
      <c r="E333" s="992">
        <f>E335+E337</f>
        <v>435583</v>
      </c>
      <c r="F333" s="992">
        <f t="shared" ref="F333:G333" si="162">F335+F337</f>
        <v>338683</v>
      </c>
      <c r="G333" s="993">
        <f t="shared" si="162"/>
        <v>274933</v>
      </c>
    </row>
    <row r="334" spans="1:7">
      <c r="A334" s="947">
        <v>3211</v>
      </c>
      <c r="B334" s="885" t="s">
        <v>19</v>
      </c>
      <c r="C334" s="967" t="s">
        <v>232</v>
      </c>
      <c r="D334" s="945" t="s">
        <v>82</v>
      </c>
      <c r="E334" s="970">
        <v>68250</v>
      </c>
      <c r="F334" s="970">
        <v>55650</v>
      </c>
      <c r="G334" s="972">
        <v>44400</v>
      </c>
    </row>
    <row r="335" spans="1:7">
      <c r="A335" s="947">
        <v>3211</v>
      </c>
      <c r="B335" s="885" t="s">
        <v>19</v>
      </c>
      <c r="C335" s="967" t="s">
        <v>232</v>
      </c>
      <c r="D335" s="967" t="s">
        <v>315</v>
      </c>
      <c r="E335" s="970">
        <v>386750</v>
      </c>
      <c r="F335" s="970">
        <v>315350</v>
      </c>
      <c r="G335" s="972">
        <v>251600</v>
      </c>
    </row>
    <row r="336" spans="1:7">
      <c r="A336" s="905">
        <v>3212</v>
      </c>
      <c r="B336" s="885" t="s">
        <v>520</v>
      </c>
      <c r="C336" s="967" t="s">
        <v>232</v>
      </c>
      <c r="D336" s="945" t="s">
        <v>82</v>
      </c>
      <c r="E336" s="970">
        <v>8617</v>
      </c>
      <c r="F336" s="970">
        <v>4117</v>
      </c>
      <c r="G336" s="972">
        <v>4117</v>
      </c>
    </row>
    <row r="337" spans="1:7">
      <c r="A337" s="905">
        <v>3212</v>
      </c>
      <c r="B337" s="885" t="s">
        <v>520</v>
      </c>
      <c r="C337" s="967" t="s">
        <v>232</v>
      </c>
      <c r="D337" s="967" t="s">
        <v>315</v>
      </c>
      <c r="E337" s="970">
        <v>48833</v>
      </c>
      <c r="F337" s="970">
        <v>23333</v>
      </c>
      <c r="G337" s="972">
        <v>23333</v>
      </c>
    </row>
    <row r="338" spans="1:7">
      <c r="A338" s="941">
        <v>322</v>
      </c>
      <c r="B338" s="942" t="s">
        <v>25</v>
      </c>
      <c r="C338" s="949" t="s">
        <v>232</v>
      </c>
      <c r="D338" s="994" t="s">
        <v>82</v>
      </c>
      <c r="E338" s="992">
        <f>E340</f>
        <v>11950</v>
      </c>
      <c r="F338" s="992">
        <f t="shared" ref="F338" si="163">F340</f>
        <v>8000</v>
      </c>
      <c r="G338" s="993">
        <f t="shared" ref="G338" si="164">G340</f>
        <v>8000</v>
      </c>
    </row>
    <row r="339" spans="1:7">
      <c r="A339" s="941">
        <v>322</v>
      </c>
      <c r="B339" s="942" t="s">
        <v>25</v>
      </c>
      <c r="C339" s="949" t="s">
        <v>232</v>
      </c>
      <c r="D339" s="994" t="s">
        <v>315</v>
      </c>
      <c r="E339" s="992">
        <f>E341</f>
        <v>68050</v>
      </c>
      <c r="F339" s="992">
        <f t="shared" ref="F339" si="165">F341</f>
        <v>45000</v>
      </c>
      <c r="G339" s="993">
        <f t="shared" ref="G339" si="166">G341</f>
        <v>45000</v>
      </c>
    </row>
    <row r="340" spans="1:7">
      <c r="A340" s="947">
        <v>3223</v>
      </c>
      <c r="B340" s="885" t="s">
        <v>29</v>
      </c>
      <c r="C340" s="967" t="s">
        <v>232</v>
      </c>
      <c r="D340" s="945" t="s">
        <v>82</v>
      </c>
      <c r="E340" s="970">
        <v>11950</v>
      </c>
      <c r="F340" s="970">
        <v>8000</v>
      </c>
      <c r="G340" s="972">
        <v>8000</v>
      </c>
    </row>
    <row r="341" spans="1:7">
      <c r="A341" s="947">
        <v>3223</v>
      </c>
      <c r="B341" s="885" t="s">
        <v>29</v>
      </c>
      <c r="C341" s="967" t="s">
        <v>232</v>
      </c>
      <c r="D341" s="945" t="s">
        <v>315</v>
      </c>
      <c r="E341" s="970">
        <v>68050</v>
      </c>
      <c r="F341" s="970">
        <v>45000</v>
      </c>
      <c r="G341" s="972">
        <v>45000</v>
      </c>
    </row>
    <row r="342" spans="1:7">
      <c r="A342" s="941">
        <v>323</v>
      </c>
      <c r="B342" s="942" t="s">
        <v>35</v>
      </c>
      <c r="C342" s="949" t="s">
        <v>232</v>
      </c>
      <c r="D342" s="994" t="s">
        <v>82</v>
      </c>
      <c r="E342" s="992">
        <f>E344+E346+E348+E352+E350</f>
        <v>66750</v>
      </c>
      <c r="F342" s="992">
        <f t="shared" ref="F342:G342" si="167">F344+F346+F348+F352+F350</f>
        <v>54000</v>
      </c>
      <c r="G342" s="993">
        <f t="shared" si="167"/>
        <v>38625</v>
      </c>
    </row>
    <row r="343" spans="1:7">
      <c r="A343" s="941">
        <v>323</v>
      </c>
      <c r="B343" s="942" t="s">
        <v>35</v>
      </c>
      <c r="C343" s="949" t="s">
        <v>232</v>
      </c>
      <c r="D343" s="994" t="s">
        <v>315</v>
      </c>
      <c r="E343" s="992">
        <f>E345+E347+E349+E351+E353</f>
        <v>378250</v>
      </c>
      <c r="F343" s="992">
        <f t="shared" ref="F343:G343" si="168">F345+F347+F349+F351+F353</f>
        <v>306000</v>
      </c>
      <c r="G343" s="993">
        <f t="shared" si="168"/>
        <v>218875</v>
      </c>
    </row>
    <row r="344" spans="1:7">
      <c r="A344" s="947">
        <v>3233</v>
      </c>
      <c r="B344" s="885" t="s">
        <v>41</v>
      </c>
      <c r="C344" s="967" t="s">
        <v>232</v>
      </c>
      <c r="D344" s="945" t="s">
        <v>82</v>
      </c>
      <c r="E344" s="970">
        <v>7500</v>
      </c>
      <c r="F344" s="970">
        <v>7500</v>
      </c>
      <c r="G344" s="972">
        <v>4500</v>
      </c>
    </row>
    <row r="345" spans="1:7">
      <c r="A345" s="947">
        <v>3233</v>
      </c>
      <c r="B345" s="885" t="s">
        <v>41</v>
      </c>
      <c r="C345" s="967" t="s">
        <v>232</v>
      </c>
      <c r="D345" s="945" t="s">
        <v>315</v>
      </c>
      <c r="E345" s="970">
        <v>42500</v>
      </c>
      <c r="F345" s="970">
        <v>42500</v>
      </c>
      <c r="G345" s="972">
        <v>25500</v>
      </c>
    </row>
    <row r="346" spans="1:7">
      <c r="A346" s="947">
        <v>3235</v>
      </c>
      <c r="B346" s="885" t="s">
        <v>45</v>
      </c>
      <c r="C346" s="967" t="s">
        <v>232</v>
      </c>
      <c r="D346" s="945" t="s">
        <v>82</v>
      </c>
      <c r="E346" s="970">
        <v>18750</v>
      </c>
      <c r="F346" s="970">
        <v>7500</v>
      </c>
      <c r="G346" s="972">
        <v>4125</v>
      </c>
    </row>
    <row r="347" spans="1:7">
      <c r="A347" s="905">
        <v>3235</v>
      </c>
      <c r="B347" s="885" t="s">
        <v>45</v>
      </c>
      <c r="C347" s="967" t="s">
        <v>232</v>
      </c>
      <c r="D347" s="945" t="s">
        <v>315</v>
      </c>
      <c r="E347" s="970">
        <v>106250</v>
      </c>
      <c r="F347" s="970">
        <v>42500</v>
      </c>
      <c r="G347" s="972">
        <v>23375</v>
      </c>
    </row>
    <row r="348" spans="1:7">
      <c r="A348" s="947">
        <v>3237</v>
      </c>
      <c r="B348" s="885" t="s">
        <v>49</v>
      </c>
      <c r="C348" s="967" t="s">
        <v>232</v>
      </c>
      <c r="D348" s="945" t="s">
        <v>82</v>
      </c>
      <c r="E348" s="970">
        <v>18750</v>
      </c>
      <c r="F348" s="970">
        <v>15750</v>
      </c>
      <c r="G348" s="972">
        <v>11250</v>
      </c>
    </row>
    <row r="349" spans="1:7">
      <c r="A349" s="947">
        <v>3237</v>
      </c>
      <c r="B349" s="885" t="s">
        <v>49</v>
      </c>
      <c r="C349" s="967" t="s">
        <v>232</v>
      </c>
      <c r="D349" s="945" t="s">
        <v>315</v>
      </c>
      <c r="E349" s="970">
        <v>106250</v>
      </c>
      <c r="F349" s="970">
        <v>89250</v>
      </c>
      <c r="G349" s="972">
        <v>63750</v>
      </c>
    </row>
    <row r="350" spans="1:7">
      <c r="A350" s="905">
        <v>3238</v>
      </c>
      <c r="B350" s="885" t="s">
        <v>51</v>
      </c>
      <c r="C350" s="967" t="s">
        <v>232</v>
      </c>
      <c r="D350" s="945" t="s">
        <v>82</v>
      </c>
      <c r="E350" s="970">
        <v>7500</v>
      </c>
      <c r="F350" s="970">
        <v>7500</v>
      </c>
      <c r="G350" s="972">
        <v>7500</v>
      </c>
    </row>
    <row r="351" spans="1:7">
      <c r="A351" s="905">
        <v>3238</v>
      </c>
      <c r="B351" s="885" t="s">
        <v>51</v>
      </c>
      <c r="C351" s="967" t="s">
        <v>232</v>
      </c>
      <c r="D351" s="945" t="s">
        <v>315</v>
      </c>
      <c r="E351" s="970">
        <v>42500</v>
      </c>
      <c r="F351" s="970">
        <v>42500</v>
      </c>
      <c r="G351" s="972">
        <v>42500</v>
      </c>
    </row>
    <row r="352" spans="1:7">
      <c r="A352" s="905">
        <v>3239</v>
      </c>
      <c r="B352" s="885" t="s">
        <v>53</v>
      </c>
      <c r="C352" s="967" t="s">
        <v>232</v>
      </c>
      <c r="D352" s="945" t="s">
        <v>82</v>
      </c>
      <c r="E352" s="970">
        <v>14250</v>
      </c>
      <c r="F352" s="970">
        <v>15750</v>
      </c>
      <c r="G352" s="972">
        <v>11250</v>
      </c>
    </row>
    <row r="353" spans="1:7">
      <c r="A353" s="905">
        <v>3239</v>
      </c>
      <c r="B353" s="885" t="s">
        <v>53</v>
      </c>
      <c r="C353" s="967" t="s">
        <v>232</v>
      </c>
      <c r="D353" s="945" t="s">
        <v>315</v>
      </c>
      <c r="E353" s="970">
        <v>80750</v>
      </c>
      <c r="F353" s="970">
        <v>89250</v>
      </c>
      <c r="G353" s="972">
        <v>63750</v>
      </c>
    </row>
    <row r="354" spans="1:7">
      <c r="A354" s="941">
        <v>324</v>
      </c>
      <c r="B354" s="942" t="s">
        <v>55</v>
      </c>
      <c r="C354" s="949" t="s">
        <v>232</v>
      </c>
      <c r="D354" s="949" t="s">
        <v>82</v>
      </c>
      <c r="E354" s="992">
        <f>E356</f>
        <v>14100</v>
      </c>
      <c r="F354" s="992">
        <f t="shared" ref="F354" si="169">F356</f>
        <v>13500</v>
      </c>
      <c r="G354" s="993">
        <f t="shared" ref="G354" si="170">G356</f>
        <v>10500</v>
      </c>
    </row>
    <row r="355" spans="1:7">
      <c r="A355" s="957">
        <v>324</v>
      </c>
      <c r="B355" s="942" t="s">
        <v>55</v>
      </c>
      <c r="C355" s="949" t="s">
        <v>232</v>
      </c>
      <c r="D355" s="949" t="s">
        <v>315</v>
      </c>
      <c r="E355" s="992">
        <f>E357</f>
        <v>79900</v>
      </c>
      <c r="F355" s="992">
        <f t="shared" ref="F355" si="171">F357</f>
        <v>76500</v>
      </c>
      <c r="G355" s="993">
        <f t="shared" ref="G355" si="172">G357</f>
        <v>59500</v>
      </c>
    </row>
    <row r="356" spans="1:7">
      <c r="A356" s="969">
        <v>3241</v>
      </c>
      <c r="B356" s="963" t="s">
        <v>55</v>
      </c>
      <c r="C356" s="967" t="s">
        <v>232</v>
      </c>
      <c r="D356" s="967" t="s">
        <v>82</v>
      </c>
      <c r="E356" s="970">
        <v>14100</v>
      </c>
      <c r="F356" s="970">
        <v>13500</v>
      </c>
      <c r="G356" s="972">
        <v>10500</v>
      </c>
    </row>
    <row r="357" spans="1:7">
      <c r="A357" s="947">
        <v>3241</v>
      </c>
      <c r="B357" s="885" t="s">
        <v>55</v>
      </c>
      <c r="C357" s="967" t="s">
        <v>232</v>
      </c>
      <c r="D357" s="945" t="s">
        <v>315</v>
      </c>
      <c r="E357" s="970">
        <v>79900</v>
      </c>
      <c r="F357" s="970">
        <v>76500</v>
      </c>
      <c r="G357" s="972">
        <v>59500</v>
      </c>
    </row>
    <row r="358" spans="1:7">
      <c r="A358" s="941">
        <v>329</v>
      </c>
      <c r="B358" s="942" t="s">
        <v>58</v>
      </c>
      <c r="C358" s="949" t="s">
        <v>232</v>
      </c>
      <c r="D358" s="949" t="s">
        <v>82</v>
      </c>
      <c r="E358" s="992">
        <f>E360</f>
        <v>23625</v>
      </c>
      <c r="F358" s="992">
        <f t="shared" ref="F358" si="173">F360</f>
        <v>21000</v>
      </c>
      <c r="G358" s="993">
        <f t="shared" ref="G358" si="174">G360</f>
        <v>19500</v>
      </c>
    </row>
    <row r="359" spans="1:7">
      <c r="A359" s="941">
        <v>329</v>
      </c>
      <c r="B359" s="942" t="s">
        <v>58</v>
      </c>
      <c r="C359" s="949" t="s">
        <v>232</v>
      </c>
      <c r="D359" s="949" t="s">
        <v>315</v>
      </c>
      <c r="E359" s="992">
        <f>E361</f>
        <v>133875</v>
      </c>
      <c r="F359" s="992">
        <f t="shared" ref="F359" si="175">F361</f>
        <v>119000</v>
      </c>
      <c r="G359" s="993">
        <f t="shared" ref="G359" si="176">G361</f>
        <v>110500</v>
      </c>
    </row>
    <row r="360" spans="1:7">
      <c r="A360" s="947">
        <v>3293</v>
      </c>
      <c r="B360" s="885" t="s">
        <v>64</v>
      </c>
      <c r="C360" s="967" t="s">
        <v>232</v>
      </c>
      <c r="D360" s="945" t="s">
        <v>82</v>
      </c>
      <c r="E360" s="970">
        <v>23625</v>
      </c>
      <c r="F360" s="970">
        <v>21000</v>
      </c>
      <c r="G360" s="972">
        <v>19500</v>
      </c>
    </row>
    <row r="361" spans="1:7">
      <c r="A361" s="947">
        <v>3293</v>
      </c>
      <c r="B361" s="885" t="s">
        <v>64</v>
      </c>
      <c r="C361" s="967" t="s">
        <v>232</v>
      </c>
      <c r="D361" s="945" t="s">
        <v>315</v>
      </c>
      <c r="E361" s="970">
        <v>133875</v>
      </c>
      <c r="F361" s="970">
        <v>119000</v>
      </c>
      <c r="G361" s="972">
        <v>110500</v>
      </c>
    </row>
    <row r="362" spans="1:7">
      <c r="A362" s="985">
        <v>42</v>
      </c>
      <c r="B362" s="965" t="s">
        <v>480</v>
      </c>
      <c r="C362" s="937" t="s">
        <v>232</v>
      </c>
      <c r="D362" s="937" t="s">
        <v>82</v>
      </c>
      <c r="E362" s="938">
        <f>E364</f>
        <v>1500</v>
      </c>
      <c r="F362" s="938">
        <f t="shared" ref="F362" si="177">F364</f>
        <v>0</v>
      </c>
      <c r="G362" s="940">
        <f t="shared" ref="G362" si="178">G364</f>
        <v>0</v>
      </c>
    </row>
    <row r="363" spans="1:7">
      <c r="A363" s="985">
        <v>42</v>
      </c>
      <c r="B363" s="965" t="s">
        <v>480</v>
      </c>
      <c r="C363" s="937" t="s">
        <v>232</v>
      </c>
      <c r="D363" s="937" t="s">
        <v>315</v>
      </c>
      <c r="E363" s="938">
        <f t="shared" ref="E363:F363" si="179">E367</f>
        <v>13500</v>
      </c>
      <c r="F363" s="938">
        <f t="shared" si="179"/>
        <v>0</v>
      </c>
      <c r="G363" s="940">
        <f t="shared" ref="G363" si="180">G367</f>
        <v>0</v>
      </c>
    </row>
    <row r="364" spans="1:7">
      <c r="A364" s="995">
        <v>422</v>
      </c>
      <c r="B364" s="996" t="s">
        <v>89</v>
      </c>
      <c r="C364" s="997" t="s">
        <v>232</v>
      </c>
      <c r="D364" s="997" t="s">
        <v>82</v>
      </c>
      <c r="E364" s="998">
        <f>E366</f>
        <v>1500</v>
      </c>
      <c r="F364" s="998">
        <f t="shared" ref="F364:F365" si="181">SUM(F365:F366)</f>
        <v>0</v>
      </c>
      <c r="G364" s="999">
        <f t="shared" ref="G364" si="182">SUM(G365:G366)</f>
        <v>0</v>
      </c>
    </row>
    <row r="365" spans="1:7">
      <c r="A365" s="1000">
        <v>422</v>
      </c>
      <c r="B365" s="996" t="s">
        <v>89</v>
      </c>
      <c r="C365" s="997" t="s">
        <v>232</v>
      </c>
      <c r="D365" s="997" t="s">
        <v>315</v>
      </c>
      <c r="E365" s="998">
        <f>E367</f>
        <v>13500</v>
      </c>
      <c r="F365" s="998">
        <f t="shared" si="181"/>
        <v>0</v>
      </c>
      <c r="G365" s="999">
        <f t="shared" ref="G365" si="183">SUM(G366:G367)</f>
        <v>0</v>
      </c>
    </row>
    <row r="366" spans="1:7">
      <c r="A366" s="1001">
        <v>4222</v>
      </c>
      <c r="B366" s="1002" t="s">
        <v>93</v>
      </c>
      <c r="C366" s="1003" t="s">
        <v>232</v>
      </c>
      <c r="D366" s="1003" t="s">
        <v>82</v>
      </c>
      <c r="E366" s="1004">
        <v>1500</v>
      </c>
      <c r="F366" s="1004"/>
      <c r="G366" s="1005"/>
    </row>
    <row r="367" spans="1:7">
      <c r="A367" s="962">
        <v>4222</v>
      </c>
      <c r="B367" s="1002" t="s">
        <v>93</v>
      </c>
      <c r="C367" s="967" t="s">
        <v>232</v>
      </c>
      <c r="D367" s="945" t="s">
        <v>315</v>
      </c>
      <c r="E367" s="970">
        <v>13500</v>
      </c>
      <c r="F367" s="970"/>
      <c r="G367" s="972"/>
    </row>
    <row r="368" spans="1:7">
      <c r="A368" s="930" t="s">
        <v>392</v>
      </c>
      <c r="B368" s="984" t="s">
        <v>351</v>
      </c>
      <c r="C368" s="932" t="s">
        <v>350</v>
      </c>
      <c r="D368" s="933"/>
      <c r="E368" s="933">
        <f t="shared" ref="E368:F368" si="184">E370</f>
        <v>2448336</v>
      </c>
      <c r="F368" s="933">
        <f t="shared" si="184"/>
        <v>2376336</v>
      </c>
      <c r="G368" s="934">
        <f t="shared" ref="G368" si="185">G370</f>
        <v>2276336</v>
      </c>
    </row>
    <row r="369" spans="1:7">
      <c r="A369" s="964">
        <v>35</v>
      </c>
      <c r="B369" s="965" t="s">
        <v>487</v>
      </c>
      <c r="C369" s="937" t="s">
        <v>350</v>
      </c>
      <c r="D369" s="937">
        <v>11</v>
      </c>
      <c r="E369" s="938">
        <f t="shared" ref="E369:G369" si="186">E370</f>
        <v>2448336</v>
      </c>
      <c r="F369" s="938">
        <f t="shared" si="186"/>
        <v>2376336</v>
      </c>
      <c r="G369" s="940">
        <f t="shared" si="186"/>
        <v>2276336</v>
      </c>
    </row>
    <row r="370" spans="1:7">
      <c r="A370" s="941">
        <v>351</v>
      </c>
      <c r="B370" s="942" t="s">
        <v>352</v>
      </c>
      <c r="C370" s="948" t="s">
        <v>350</v>
      </c>
      <c r="D370" s="945">
        <v>11</v>
      </c>
      <c r="E370" s="944">
        <f t="shared" ref="E370:G370" si="187">SUM(E371:E371)</f>
        <v>2448336</v>
      </c>
      <c r="F370" s="944">
        <f t="shared" si="187"/>
        <v>2376336</v>
      </c>
      <c r="G370" s="946">
        <f t="shared" si="187"/>
        <v>2276336</v>
      </c>
    </row>
    <row r="371" spans="1:7">
      <c r="A371" s="905">
        <v>3512</v>
      </c>
      <c r="B371" s="885" t="s">
        <v>353</v>
      </c>
      <c r="C371" s="945" t="s">
        <v>350</v>
      </c>
      <c r="D371" s="945">
        <v>11</v>
      </c>
      <c r="E371" s="886">
        <v>2448336</v>
      </c>
      <c r="F371" s="886">
        <v>2376336</v>
      </c>
      <c r="G371" s="906">
        <v>2276336</v>
      </c>
    </row>
    <row r="372" spans="1:7">
      <c r="A372" s="930" t="s">
        <v>501</v>
      </c>
      <c r="B372" s="984" t="s">
        <v>500</v>
      </c>
      <c r="C372" s="984">
        <v>442</v>
      </c>
      <c r="D372" s="984"/>
      <c r="E372" s="917">
        <f>E373+E378+E392+E395</f>
        <v>42763600</v>
      </c>
      <c r="F372" s="917">
        <f>F373+F378+F392+F395</f>
        <v>21885400</v>
      </c>
      <c r="G372" s="918">
        <f>G373+G378+G392+G395</f>
        <v>0</v>
      </c>
    </row>
    <row r="373" spans="1:7">
      <c r="A373" s="935">
        <v>31</v>
      </c>
      <c r="B373" s="936" t="s">
        <v>474</v>
      </c>
      <c r="C373" s="937" t="s">
        <v>232</v>
      </c>
      <c r="D373" s="955">
        <v>559</v>
      </c>
      <c r="E373" s="986">
        <f>E374+E376</f>
        <v>428600</v>
      </c>
      <c r="F373" s="986">
        <f t="shared" ref="F373:G373" si="188">F374+F376</f>
        <v>369900</v>
      </c>
      <c r="G373" s="987">
        <f t="shared" si="188"/>
        <v>0</v>
      </c>
    </row>
    <row r="374" spans="1:7" s="841" customFormat="1">
      <c r="A374" s="941">
        <v>311</v>
      </c>
      <c r="B374" s="942" t="s">
        <v>2</v>
      </c>
      <c r="C374" s="887" t="s">
        <v>232</v>
      </c>
      <c r="D374" s="889">
        <v>559</v>
      </c>
      <c r="E374" s="888">
        <f>SUM(E375:E375)</f>
        <v>368000</v>
      </c>
      <c r="F374" s="888">
        <f>SUM(F375:F375)</f>
        <v>309000</v>
      </c>
      <c r="G374" s="907">
        <f>SUM(G375:G375)</f>
        <v>0</v>
      </c>
    </row>
    <row r="375" spans="1:7" s="841" customFormat="1">
      <c r="A375" s="908">
        <v>3111</v>
      </c>
      <c r="B375" s="885" t="s">
        <v>4</v>
      </c>
      <c r="C375" s="891" t="s">
        <v>232</v>
      </c>
      <c r="D375" s="890">
        <v>559</v>
      </c>
      <c r="E375" s="892">
        <v>368000</v>
      </c>
      <c r="F375" s="892">
        <v>309000</v>
      </c>
      <c r="G375" s="909"/>
    </row>
    <row r="376" spans="1:7" s="841" customFormat="1">
      <c r="A376" s="941">
        <v>313</v>
      </c>
      <c r="B376" s="942" t="s">
        <v>11</v>
      </c>
      <c r="C376" s="887" t="s">
        <v>232</v>
      </c>
      <c r="D376" s="890">
        <v>559</v>
      </c>
      <c r="E376" s="888">
        <f>SUM(E377:E377)</f>
        <v>60600</v>
      </c>
      <c r="F376" s="888">
        <f>SUM(F377:F377)</f>
        <v>60900</v>
      </c>
      <c r="G376" s="907">
        <f>SUM(G377:G377)</f>
        <v>0</v>
      </c>
    </row>
    <row r="377" spans="1:7" s="841" customFormat="1">
      <c r="A377" s="908">
        <v>3132</v>
      </c>
      <c r="B377" s="885" t="s">
        <v>13</v>
      </c>
      <c r="C377" s="891" t="s">
        <v>232</v>
      </c>
      <c r="D377" s="890">
        <v>559</v>
      </c>
      <c r="E377" s="892">
        <v>60600</v>
      </c>
      <c r="F377" s="892">
        <v>60900</v>
      </c>
      <c r="G377" s="909"/>
    </row>
    <row r="378" spans="1:7">
      <c r="A378" s="985">
        <v>-32</v>
      </c>
      <c r="B378" s="965" t="s">
        <v>476</v>
      </c>
      <c r="C378" s="965" t="s">
        <v>232</v>
      </c>
      <c r="D378" s="965">
        <v>559</v>
      </c>
      <c r="E378" s="1006">
        <f t="shared" ref="E378:F378" si="189">E379+E382+E384+E389</f>
        <v>1835000</v>
      </c>
      <c r="F378" s="1006">
        <f t="shared" si="189"/>
        <v>665500</v>
      </c>
      <c r="G378" s="1007">
        <f t="shared" ref="G378" si="190">G379+G382+G384+G389</f>
        <v>0</v>
      </c>
    </row>
    <row r="379" spans="1:7">
      <c r="A379" s="941">
        <v>321</v>
      </c>
      <c r="B379" s="942" t="s">
        <v>17</v>
      </c>
      <c r="C379" s="893" t="s">
        <v>232</v>
      </c>
      <c r="D379" s="895">
        <v>559</v>
      </c>
      <c r="E379" s="894">
        <f t="shared" ref="E379:F379" si="191">SUM(E380:E381)</f>
        <v>50000</v>
      </c>
      <c r="F379" s="894">
        <f t="shared" si="191"/>
        <v>20000</v>
      </c>
      <c r="G379" s="910">
        <f t="shared" ref="G379" si="192">SUM(G380:G381)</f>
        <v>0</v>
      </c>
    </row>
    <row r="380" spans="1:7">
      <c r="A380" s="962">
        <v>3211</v>
      </c>
      <c r="B380" s="885" t="s">
        <v>19</v>
      </c>
      <c r="C380" s="896" t="s">
        <v>232</v>
      </c>
      <c r="D380" s="898">
        <v>559</v>
      </c>
      <c r="E380" s="897">
        <v>30000</v>
      </c>
      <c r="F380" s="897">
        <v>10000</v>
      </c>
      <c r="G380" s="911">
        <v>0</v>
      </c>
    </row>
    <row r="381" spans="1:7">
      <c r="A381" s="962">
        <v>3212</v>
      </c>
      <c r="B381" s="885" t="s">
        <v>526</v>
      </c>
      <c r="C381" s="896" t="s">
        <v>232</v>
      </c>
      <c r="D381" s="898">
        <v>559</v>
      </c>
      <c r="E381" s="897">
        <v>20000</v>
      </c>
      <c r="F381" s="897">
        <v>10000</v>
      </c>
      <c r="G381" s="911">
        <v>0</v>
      </c>
    </row>
    <row r="382" spans="1:7">
      <c r="A382" s="941">
        <v>322</v>
      </c>
      <c r="B382" s="942" t="s">
        <v>25</v>
      </c>
      <c r="C382" s="893" t="s">
        <v>232</v>
      </c>
      <c r="D382" s="895">
        <v>559</v>
      </c>
      <c r="E382" s="894">
        <f t="shared" ref="E382:G382" si="193">SUM(E383)</f>
        <v>60000</v>
      </c>
      <c r="F382" s="894">
        <f t="shared" si="193"/>
        <v>27000</v>
      </c>
      <c r="G382" s="910">
        <f t="shared" si="193"/>
        <v>0</v>
      </c>
    </row>
    <row r="383" spans="1:7">
      <c r="A383" s="912">
        <v>3223</v>
      </c>
      <c r="B383" s="899" t="s">
        <v>499</v>
      </c>
      <c r="C383" s="896" t="s">
        <v>232</v>
      </c>
      <c r="D383" s="898">
        <v>559</v>
      </c>
      <c r="E383" s="897">
        <v>60000</v>
      </c>
      <c r="F383" s="897">
        <v>27000</v>
      </c>
      <c r="G383" s="911">
        <v>0</v>
      </c>
    </row>
    <row r="384" spans="1:7">
      <c r="A384" s="941">
        <v>323</v>
      </c>
      <c r="B384" s="942" t="s">
        <v>35</v>
      </c>
      <c r="C384" s="893" t="s">
        <v>232</v>
      </c>
      <c r="D384" s="895">
        <v>559</v>
      </c>
      <c r="E384" s="894">
        <f>SUM(E385:E388)</f>
        <v>1720000</v>
      </c>
      <c r="F384" s="894">
        <f t="shared" ref="F384" si="194">SUM(F385:F388)</f>
        <v>588500</v>
      </c>
      <c r="G384" s="910">
        <f t="shared" ref="G384" si="195">SUM(G385:G388)</f>
        <v>0</v>
      </c>
    </row>
    <row r="385" spans="1:7">
      <c r="A385" s="912">
        <v>3233</v>
      </c>
      <c r="B385" s="885" t="s">
        <v>41</v>
      </c>
      <c r="C385" s="896" t="s">
        <v>232</v>
      </c>
      <c r="D385" s="898">
        <v>559</v>
      </c>
      <c r="E385" s="897">
        <v>100000</v>
      </c>
      <c r="F385" s="897">
        <v>5000</v>
      </c>
      <c r="G385" s="911">
        <v>0</v>
      </c>
    </row>
    <row r="386" spans="1:7">
      <c r="A386" s="912">
        <v>3235</v>
      </c>
      <c r="B386" s="885" t="s">
        <v>45</v>
      </c>
      <c r="C386" s="896" t="s">
        <v>232</v>
      </c>
      <c r="D386" s="898">
        <v>559</v>
      </c>
      <c r="E386" s="897">
        <v>10000</v>
      </c>
      <c r="F386" s="897">
        <v>20000</v>
      </c>
      <c r="G386" s="911">
        <v>0</v>
      </c>
    </row>
    <row r="387" spans="1:7">
      <c r="A387" s="912">
        <v>3237</v>
      </c>
      <c r="B387" s="885" t="s">
        <v>49</v>
      </c>
      <c r="C387" s="896" t="s">
        <v>232</v>
      </c>
      <c r="D387" s="898">
        <v>559</v>
      </c>
      <c r="E387" s="897">
        <v>1600000</v>
      </c>
      <c r="F387" s="897">
        <v>550000</v>
      </c>
      <c r="G387" s="911">
        <v>0</v>
      </c>
    </row>
    <row r="388" spans="1:7">
      <c r="A388" s="912">
        <v>3239</v>
      </c>
      <c r="B388" s="885" t="s">
        <v>53</v>
      </c>
      <c r="C388" s="896" t="s">
        <v>232</v>
      </c>
      <c r="D388" s="898">
        <v>559</v>
      </c>
      <c r="E388" s="897">
        <v>10000</v>
      </c>
      <c r="F388" s="897">
        <v>13500</v>
      </c>
      <c r="G388" s="911">
        <v>0</v>
      </c>
    </row>
    <row r="389" spans="1:7">
      <c r="A389" s="941">
        <v>329</v>
      </c>
      <c r="B389" s="942" t="s">
        <v>58</v>
      </c>
      <c r="C389" s="893" t="s">
        <v>232</v>
      </c>
      <c r="D389" s="895">
        <v>559</v>
      </c>
      <c r="E389" s="894">
        <f t="shared" ref="E389:G389" si="196">SUM(E390)</f>
        <v>5000</v>
      </c>
      <c r="F389" s="894">
        <f t="shared" si="196"/>
        <v>30000</v>
      </c>
      <c r="G389" s="910">
        <f t="shared" si="196"/>
        <v>0</v>
      </c>
    </row>
    <row r="390" spans="1:7">
      <c r="A390" s="912">
        <v>3293</v>
      </c>
      <c r="B390" s="885" t="s">
        <v>64</v>
      </c>
      <c r="C390" s="896" t="s">
        <v>232</v>
      </c>
      <c r="D390" s="898">
        <v>559</v>
      </c>
      <c r="E390" s="897">
        <v>5000</v>
      </c>
      <c r="F390" s="897">
        <v>30000</v>
      </c>
      <c r="G390" s="911">
        <v>0</v>
      </c>
    </row>
    <row r="391" spans="1:7">
      <c r="A391" s="912">
        <v>3295</v>
      </c>
      <c r="B391" s="885" t="s">
        <v>68</v>
      </c>
      <c r="C391" s="896">
        <v>442</v>
      </c>
      <c r="D391" s="898">
        <v>559</v>
      </c>
      <c r="E391" s="897">
        <v>0</v>
      </c>
      <c r="F391" s="897">
        <v>0</v>
      </c>
      <c r="G391" s="911">
        <v>0</v>
      </c>
    </row>
    <row r="392" spans="1:7">
      <c r="A392" s="985">
        <v>-35</v>
      </c>
      <c r="B392" s="965" t="s">
        <v>487</v>
      </c>
      <c r="C392" s="965" t="s">
        <v>232</v>
      </c>
      <c r="D392" s="965">
        <v>559</v>
      </c>
      <c r="E392" s="1006">
        <f>E394</f>
        <v>37500000</v>
      </c>
      <c r="F392" s="1006">
        <f t="shared" ref="F392:G392" si="197">F394</f>
        <v>19500000</v>
      </c>
      <c r="G392" s="1007">
        <f t="shared" si="197"/>
        <v>0</v>
      </c>
    </row>
    <row r="393" spans="1:7">
      <c r="A393" s="957">
        <v>353</v>
      </c>
      <c r="B393" s="942" t="s">
        <v>516</v>
      </c>
      <c r="C393" s="942" t="s">
        <v>232</v>
      </c>
      <c r="D393" s="942">
        <v>559</v>
      </c>
      <c r="E393" s="1008">
        <f t="shared" ref="E393:G393" si="198">E394</f>
        <v>37500000</v>
      </c>
      <c r="F393" s="1008">
        <f t="shared" si="198"/>
        <v>19500000</v>
      </c>
      <c r="G393" s="1009">
        <f t="shared" si="198"/>
        <v>0</v>
      </c>
    </row>
    <row r="394" spans="1:7">
      <c r="A394" s="969">
        <v>3531</v>
      </c>
      <c r="B394" s="963" t="s">
        <v>516</v>
      </c>
      <c r="C394" s="963" t="s">
        <v>232</v>
      </c>
      <c r="D394" s="963">
        <v>559</v>
      </c>
      <c r="E394" s="1010">
        <v>37500000</v>
      </c>
      <c r="F394" s="1010">
        <v>19500000</v>
      </c>
      <c r="G394" s="1011">
        <v>0</v>
      </c>
    </row>
    <row r="395" spans="1:7">
      <c r="A395" s="985">
        <v>-36</v>
      </c>
      <c r="B395" s="965" t="s">
        <v>550</v>
      </c>
      <c r="C395" s="965" t="s">
        <v>232</v>
      </c>
      <c r="D395" s="965"/>
      <c r="E395" s="1006">
        <f>E396+E398</f>
        <v>3000000</v>
      </c>
      <c r="F395" s="1006">
        <f t="shared" ref="F395:G395" si="199">F396+F398</f>
        <v>1350000</v>
      </c>
      <c r="G395" s="1007">
        <f t="shared" si="199"/>
        <v>0</v>
      </c>
    </row>
    <row r="396" spans="1:7">
      <c r="A396" s="957">
        <v>-361</v>
      </c>
      <c r="B396" s="942" t="s">
        <v>551</v>
      </c>
      <c r="C396" s="942" t="s">
        <v>232</v>
      </c>
      <c r="D396" s="942">
        <v>559</v>
      </c>
      <c r="E396" s="1008">
        <f>E397</f>
        <v>1400000</v>
      </c>
      <c r="F396" s="1008">
        <f t="shared" ref="F396:G396" si="200">F397</f>
        <v>550000</v>
      </c>
      <c r="G396" s="1009">
        <f t="shared" si="200"/>
        <v>0</v>
      </c>
    </row>
    <row r="397" spans="1:7">
      <c r="A397" s="969">
        <v>3611</v>
      </c>
      <c r="B397" s="963" t="s">
        <v>549</v>
      </c>
      <c r="C397" s="963" t="s">
        <v>232</v>
      </c>
      <c r="D397" s="963">
        <v>559</v>
      </c>
      <c r="E397" s="1010">
        <v>1400000</v>
      </c>
      <c r="F397" s="1010">
        <v>550000</v>
      </c>
      <c r="G397" s="1011"/>
    </row>
    <row r="398" spans="1:7">
      <c r="A398" s="957">
        <v>-368</v>
      </c>
      <c r="B398" s="942" t="s">
        <v>237</v>
      </c>
      <c r="C398" s="942"/>
      <c r="D398" s="942">
        <v>559</v>
      </c>
      <c r="E398" s="1008">
        <f>E399</f>
        <v>1600000</v>
      </c>
      <c r="F398" s="1008">
        <f t="shared" ref="F398:G398" si="201">F399</f>
        <v>800000</v>
      </c>
      <c r="G398" s="1009">
        <f t="shared" si="201"/>
        <v>0</v>
      </c>
    </row>
    <row r="399" spans="1:7">
      <c r="A399" s="969">
        <v>3681</v>
      </c>
      <c r="B399" s="963" t="s">
        <v>237</v>
      </c>
      <c r="C399" s="963" t="s">
        <v>232</v>
      </c>
      <c r="D399" s="963">
        <v>559</v>
      </c>
      <c r="E399" s="1010">
        <v>1600000</v>
      </c>
      <c r="F399" s="1010">
        <v>800000</v>
      </c>
      <c r="G399" s="1011">
        <v>0</v>
      </c>
    </row>
    <row r="400" spans="1:7">
      <c r="A400" s="930" t="s">
        <v>513</v>
      </c>
      <c r="B400" s="984" t="s">
        <v>506</v>
      </c>
      <c r="C400" s="984" t="s">
        <v>232</v>
      </c>
      <c r="D400" s="984"/>
      <c r="E400" s="917">
        <f>E401+E402+E407+E408+E409</f>
        <v>4100000</v>
      </c>
      <c r="F400" s="917">
        <f>F401+F402+F407+F408+F409</f>
        <v>4225000</v>
      </c>
      <c r="G400" s="918">
        <f>G401+G402+G407+G408+G409</f>
        <v>4362500</v>
      </c>
    </row>
    <row r="401" spans="1:10">
      <c r="A401" s="964">
        <v>-32</v>
      </c>
      <c r="B401" s="936" t="s">
        <v>476</v>
      </c>
      <c r="C401" s="936" t="s">
        <v>232</v>
      </c>
      <c r="D401" s="936" t="s">
        <v>82</v>
      </c>
      <c r="E401" s="986">
        <f>E403</f>
        <v>15000</v>
      </c>
      <c r="F401" s="986">
        <f t="shared" ref="F401:G401" si="202">F403</f>
        <v>15000</v>
      </c>
      <c r="G401" s="987">
        <f t="shared" si="202"/>
        <v>15000</v>
      </c>
      <c r="H401" s="22"/>
      <c r="I401" s="22"/>
      <c r="J401" s="22"/>
    </row>
    <row r="402" spans="1:10">
      <c r="A402" s="964">
        <v>-32</v>
      </c>
      <c r="B402" s="936" t="s">
        <v>476</v>
      </c>
      <c r="C402" s="936" t="s">
        <v>232</v>
      </c>
      <c r="D402" s="936" t="s">
        <v>507</v>
      </c>
      <c r="E402" s="986">
        <f>E404</f>
        <v>85000</v>
      </c>
      <c r="F402" s="986">
        <f t="shared" ref="F402:G402" si="203">F404</f>
        <v>85000</v>
      </c>
      <c r="G402" s="987">
        <f t="shared" si="203"/>
        <v>85000</v>
      </c>
      <c r="H402" s="22"/>
      <c r="I402" s="22"/>
      <c r="J402" s="22"/>
    </row>
    <row r="403" spans="1:10">
      <c r="A403" s="941">
        <v>324</v>
      </c>
      <c r="B403" s="942" t="s">
        <v>55</v>
      </c>
      <c r="C403" s="949" t="s">
        <v>232</v>
      </c>
      <c r="D403" s="948" t="s">
        <v>82</v>
      </c>
      <c r="E403" s="900">
        <f t="shared" ref="E403:F403" si="204">E405</f>
        <v>15000</v>
      </c>
      <c r="F403" s="900">
        <f t="shared" si="204"/>
        <v>15000</v>
      </c>
      <c r="G403" s="913">
        <f t="shared" ref="G403" si="205">G405</f>
        <v>15000</v>
      </c>
    </row>
    <row r="404" spans="1:10">
      <c r="A404" s="941">
        <v>324</v>
      </c>
      <c r="B404" s="942" t="s">
        <v>55</v>
      </c>
      <c r="C404" s="949" t="s">
        <v>232</v>
      </c>
      <c r="D404" s="948" t="s">
        <v>507</v>
      </c>
      <c r="E404" s="900">
        <f t="shared" ref="E404:F404" si="206">E406</f>
        <v>85000</v>
      </c>
      <c r="F404" s="900">
        <f t="shared" si="206"/>
        <v>85000</v>
      </c>
      <c r="G404" s="913">
        <f t="shared" ref="G404" si="207">G406</f>
        <v>85000</v>
      </c>
    </row>
    <row r="405" spans="1:10">
      <c r="A405" s="962">
        <v>3241</v>
      </c>
      <c r="B405" s="963" t="s">
        <v>55</v>
      </c>
      <c r="C405" s="945" t="s">
        <v>232</v>
      </c>
      <c r="D405" s="943" t="s">
        <v>82</v>
      </c>
      <c r="E405" s="901">
        <v>15000</v>
      </c>
      <c r="F405" s="901">
        <v>15000</v>
      </c>
      <c r="G405" s="914">
        <v>15000</v>
      </c>
    </row>
    <row r="406" spans="1:10">
      <c r="A406" s="962">
        <v>3241</v>
      </c>
      <c r="B406" s="963" t="s">
        <v>55</v>
      </c>
      <c r="C406" s="945" t="s">
        <v>232</v>
      </c>
      <c r="D406" s="943" t="s">
        <v>507</v>
      </c>
      <c r="E406" s="901">
        <v>85000</v>
      </c>
      <c r="F406" s="901">
        <v>85000</v>
      </c>
      <c r="G406" s="914">
        <v>85000</v>
      </c>
    </row>
    <row r="407" spans="1:10">
      <c r="A407" s="935">
        <v>35</v>
      </c>
      <c r="B407" s="936" t="s">
        <v>487</v>
      </c>
      <c r="C407" s="936" t="s">
        <v>232</v>
      </c>
      <c r="D407" s="936" t="s">
        <v>82</v>
      </c>
      <c r="E407" s="986">
        <f t="shared" ref="E407:F407" si="208">E410</f>
        <v>450000</v>
      </c>
      <c r="F407" s="986">
        <f t="shared" si="208"/>
        <v>1725000</v>
      </c>
      <c r="G407" s="987">
        <f t="shared" ref="G407" si="209">G410</f>
        <v>2362500</v>
      </c>
    </row>
    <row r="408" spans="1:10">
      <c r="A408" s="935">
        <v>35</v>
      </c>
      <c r="B408" s="936" t="s">
        <v>487</v>
      </c>
      <c r="C408" s="936" t="s">
        <v>232</v>
      </c>
      <c r="D408" s="936" t="s">
        <v>507</v>
      </c>
      <c r="E408" s="986">
        <f>E412</f>
        <v>2550000</v>
      </c>
      <c r="F408" s="986">
        <f t="shared" ref="F408:G408" si="210">F412</f>
        <v>1275000</v>
      </c>
      <c r="G408" s="987">
        <f t="shared" si="210"/>
        <v>650000</v>
      </c>
    </row>
    <row r="409" spans="1:10">
      <c r="A409" s="935">
        <v>35</v>
      </c>
      <c r="B409" s="936" t="s">
        <v>487</v>
      </c>
      <c r="C409" s="936" t="s">
        <v>232</v>
      </c>
      <c r="D409" s="936" t="s">
        <v>315</v>
      </c>
      <c r="E409" s="986">
        <f t="shared" ref="E409:F409" si="211">E413</f>
        <v>1000000</v>
      </c>
      <c r="F409" s="986">
        <f t="shared" si="211"/>
        <v>1125000</v>
      </c>
      <c r="G409" s="987">
        <f t="shared" ref="G409" si="212">G413</f>
        <v>1250000</v>
      </c>
    </row>
    <row r="410" spans="1:10">
      <c r="A410" s="941">
        <v>352</v>
      </c>
      <c r="B410" s="942" t="s">
        <v>508</v>
      </c>
      <c r="C410" s="949" t="s">
        <v>232</v>
      </c>
      <c r="D410" s="948" t="s">
        <v>82</v>
      </c>
      <c r="E410" s="900">
        <f t="shared" ref="E410:F410" si="213">E411</f>
        <v>450000</v>
      </c>
      <c r="F410" s="900">
        <f t="shared" si="213"/>
        <v>1725000</v>
      </c>
      <c r="G410" s="913">
        <f t="shared" ref="G410" si="214">G411</f>
        <v>2362500</v>
      </c>
    </row>
    <row r="411" spans="1:10">
      <c r="A411" s="962">
        <v>3522</v>
      </c>
      <c r="B411" s="963" t="s">
        <v>493</v>
      </c>
      <c r="C411" s="945" t="s">
        <v>232</v>
      </c>
      <c r="D411" s="943" t="s">
        <v>82</v>
      </c>
      <c r="E411" s="901">
        <v>450000</v>
      </c>
      <c r="F411" s="901">
        <v>1725000</v>
      </c>
      <c r="G411" s="914">
        <v>2362500</v>
      </c>
    </row>
    <row r="412" spans="1:10">
      <c r="A412" s="941">
        <v>353</v>
      </c>
      <c r="B412" s="942" t="s">
        <v>509</v>
      </c>
      <c r="C412" s="949" t="s">
        <v>232</v>
      </c>
      <c r="D412" s="948" t="s">
        <v>507</v>
      </c>
      <c r="E412" s="900">
        <f t="shared" ref="E412:F412" si="215">E415</f>
        <v>2550000</v>
      </c>
      <c r="F412" s="900">
        <f t="shared" si="215"/>
        <v>1275000</v>
      </c>
      <c r="G412" s="913">
        <f t="shared" ref="G412" si="216">G415</f>
        <v>650000</v>
      </c>
    </row>
    <row r="413" spans="1:10">
      <c r="A413" s="941">
        <v>353</v>
      </c>
      <c r="B413" s="942" t="s">
        <v>509</v>
      </c>
      <c r="C413" s="949" t="s">
        <v>232</v>
      </c>
      <c r="D413" s="948" t="s">
        <v>315</v>
      </c>
      <c r="E413" s="900">
        <f t="shared" ref="E413:G413" si="217">E414</f>
        <v>1000000</v>
      </c>
      <c r="F413" s="900">
        <f t="shared" si="217"/>
        <v>1125000</v>
      </c>
      <c r="G413" s="913">
        <f t="shared" si="217"/>
        <v>1250000</v>
      </c>
    </row>
    <row r="414" spans="1:10">
      <c r="A414" s="962">
        <v>3531</v>
      </c>
      <c r="B414" s="963" t="s">
        <v>510</v>
      </c>
      <c r="C414" s="945" t="s">
        <v>232</v>
      </c>
      <c r="D414" s="943" t="s">
        <v>315</v>
      </c>
      <c r="E414" s="901">
        <v>1000000</v>
      </c>
      <c r="F414" s="901">
        <v>1125000</v>
      </c>
      <c r="G414" s="914">
        <v>1250000</v>
      </c>
    </row>
    <row r="415" spans="1:10">
      <c r="A415" s="962">
        <v>3531</v>
      </c>
      <c r="B415" s="963" t="s">
        <v>510</v>
      </c>
      <c r="C415" s="945" t="s">
        <v>232</v>
      </c>
      <c r="D415" s="943" t="s">
        <v>507</v>
      </c>
      <c r="E415" s="901">
        <v>2550000</v>
      </c>
      <c r="F415" s="901">
        <v>1275000</v>
      </c>
      <c r="G415" s="914">
        <v>650000</v>
      </c>
    </row>
    <row r="416" spans="1:10">
      <c r="A416" s="930" t="s">
        <v>512</v>
      </c>
      <c r="B416" s="984" t="s">
        <v>504</v>
      </c>
      <c r="C416" s="984" t="s">
        <v>232</v>
      </c>
      <c r="D416" s="984"/>
      <c r="E416" s="917">
        <f t="shared" ref="E416:F416" si="218">E418</f>
        <v>4500000</v>
      </c>
      <c r="F416" s="917">
        <f t="shared" si="218"/>
        <v>700000</v>
      </c>
      <c r="G416" s="918">
        <f t="shared" ref="G416" si="219">G418</f>
        <v>0</v>
      </c>
    </row>
    <row r="417" spans="1:10">
      <c r="A417" s="935">
        <v>53</v>
      </c>
      <c r="B417" s="936" t="s">
        <v>483</v>
      </c>
      <c r="C417" s="955" t="s">
        <v>232</v>
      </c>
      <c r="D417" s="955" t="s">
        <v>82</v>
      </c>
      <c r="E417" s="1012">
        <f t="shared" ref="E417:G417" si="220">E418</f>
        <v>4500000</v>
      </c>
      <c r="F417" s="1012">
        <f t="shared" si="220"/>
        <v>700000</v>
      </c>
      <c r="G417" s="1013">
        <f t="shared" si="220"/>
        <v>0</v>
      </c>
    </row>
    <row r="418" spans="1:10">
      <c r="A418" s="941">
        <v>533</v>
      </c>
      <c r="B418" s="942" t="s">
        <v>365</v>
      </c>
      <c r="C418" s="949" t="s">
        <v>232</v>
      </c>
      <c r="D418" s="948">
        <v>12</v>
      </c>
      <c r="E418" s="1014">
        <f t="shared" ref="E418:G418" si="221">E419</f>
        <v>4500000</v>
      </c>
      <c r="F418" s="1014">
        <f t="shared" si="221"/>
        <v>700000</v>
      </c>
      <c r="G418" s="1015">
        <f t="shared" si="221"/>
        <v>0</v>
      </c>
    </row>
    <row r="419" spans="1:10">
      <c r="A419" s="962">
        <v>5332</v>
      </c>
      <c r="B419" s="963" t="s">
        <v>365</v>
      </c>
      <c r="C419" s="945" t="s">
        <v>232</v>
      </c>
      <c r="D419" s="943" t="s">
        <v>82</v>
      </c>
      <c r="E419" s="901">
        <v>4500000</v>
      </c>
      <c r="F419" s="901">
        <v>700000</v>
      </c>
      <c r="G419" s="914">
        <v>0</v>
      </c>
    </row>
    <row r="420" spans="1:10">
      <c r="A420" s="930" t="s">
        <v>511</v>
      </c>
      <c r="B420" s="984" t="s">
        <v>502</v>
      </c>
      <c r="C420" s="984" t="s">
        <v>232</v>
      </c>
      <c r="D420" s="984"/>
      <c r="E420" s="917">
        <f>E421+E429+E441+E444</f>
        <v>1486100</v>
      </c>
      <c r="F420" s="917">
        <f>F421+F429+F441+F444</f>
        <v>1469100</v>
      </c>
      <c r="G420" s="918">
        <f>G421+G429+G441+G444</f>
        <v>1427200</v>
      </c>
    </row>
    <row r="421" spans="1:10">
      <c r="A421" s="935">
        <v>31</v>
      </c>
      <c r="B421" s="936" t="s">
        <v>474</v>
      </c>
      <c r="C421" s="937" t="s">
        <v>232</v>
      </c>
      <c r="D421" s="936">
        <v>11</v>
      </c>
      <c r="E421" s="986">
        <f>E422+E427+E425</f>
        <v>1026100</v>
      </c>
      <c r="F421" s="986">
        <f t="shared" ref="F421" si="222">F422+F427+F425</f>
        <v>1033100</v>
      </c>
      <c r="G421" s="987">
        <f t="shared" ref="G421" si="223">G422+G427+G425</f>
        <v>1040200</v>
      </c>
    </row>
    <row r="422" spans="1:10">
      <c r="A422" s="941">
        <v>311</v>
      </c>
      <c r="B422" s="942" t="s">
        <v>2</v>
      </c>
      <c r="C422" s="943" t="s">
        <v>232</v>
      </c>
      <c r="D422" s="1017">
        <v>11</v>
      </c>
      <c r="E422" s="1016">
        <f>E423+E424</f>
        <v>778900</v>
      </c>
      <c r="F422" s="1016">
        <f t="shared" ref="F422:G422" si="224">F423+F424</f>
        <v>782800</v>
      </c>
      <c r="G422" s="1018">
        <f t="shared" si="224"/>
        <v>786700</v>
      </c>
    </row>
    <row r="423" spans="1:10">
      <c r="A423" s="947">
        <v>3111</v>
      </c>
      <c r="B423" s="885" t="s">
        <v>4</v>
      </c>
      <c r="C423" s="943" t="s">
        <v>232</v>
      </c>
      <c r="D423" s="1002">
        <v>11</v>
      </c>
      <c r="E423" s="915">
        <v>770900</v>
      </c>
      <c r="F423" s="915">
        <v>774800</v>
      </c>
      <c r="G423" s="916">
        <v>778700</v>
      </c>
    </row>
    <row r="424" spans="1:10">
      <c r="A424" s="905">
        <v>3113</v>
      </c>
      <c r="B424" s="885" t="s">
        <v>6</v>
      </c>
      <c r="C424" s="943" t="s">
        <v>232</v>
      </c>
      <c r="D424" s="1002">
        <v>11</v>
      </c>
      <c r="E424" s="915">
        <v>8000</v>
      </c>
      <c r="F424" s="915">
        <v>8000</v>
      </c>
      <c r="G424" s="916">
        <v>8000</v>
      </c>
    </row>
    <row r="425" spans="1:10">
      <c r="A425" s="941">
        <v>312</v>
      </c>
      <c r="B425" s="942" t="s">
        <v>8</v>
      </c>
      <c r="C425" s="1019" t="s">
        <v>232</v>
      </c>
      <c r="D425" s="942">
        <v>11</v>
      </c>
      <c r="E425" s="1014">
        <f>E426</f>
        <v>120000</v>
      </c>
      <c r="F425" s="1014">
        <f>F426</f>
        <v>122500</v>
      </c>
      <c r="G425" s="1015">
        <f>G426</f>
        <v>125000</v>
      </c>
    </row>
    <row r="426" spans="1:10">
      <c r="A426" s="905">
        <v>3121</v>
      </c>
      <c r="B426" s="885" t="s">
        <v>8</v>
      </c>
      <c r="C426" s="943" t="s">
        <v>232</v>
      </c>
      <c r="D426" s="1002">
        <v>11</v>
      </c>
      <c r="E426" s="915">
        <v>120000</v>
      </c>
      <c r="F426" s="915">
        <v>122500</v>
      </c>
      <c r="G426" s="916">
        <v>125000</v>
      </c>
    </row>
    <row r="427" spans="1:10">
      <c r="A427" s="941">
        <v>313</v>
      </c>
      <c r="B427" s="942" t="s">
        <v>11</v>
      </c>
      <c r="C427" s="893" t="s">
        <v>232</v>
      </c>
      <c r="D427" s="996">
        <v>11</v>
      </c>
      <c r="E427" s="1014">
        <f>SUM(E428:E428)</f>
        <v>127200</v>
      </c>
      <c r="F427" s="1014">
        <f>SUM(F428:F428)</f>
        <v>127800</v>
      </c>
      <c r="G427" s="1015">
        <f>SUM(G428:G428)</f>
        <v>128500</v>
      </c>
    </row>
    <row r="428" spans="1:10">
      <c r="A428" s="912">
        <v>3132</v>
      </c>
      <c r="B428" s="885" t="s">
        <v>13</v>
      </c>
      <c r="C428" s="896" t="s">
        <v>232</v>
      </c>
      <c r="D428" s="1002">
        <v>11</v>
      </c>
      <c r="E428" s="915">
        <v>127200</v>
      </c>
      <c r="F428" s="915">
        <v>127800</v>
      </c>
      <c r="G428" s="916">
        <v>128500</v>
      </c>
    </row>
    <row r="429" spans="1:10">
      <c r="A429" s="964">
        <v>32</v>
      </c>
      <c r="B429" s="965" t="s">
        <v>476</v>
      </c>
      <c r="C429" s="937" t="s">
        <v>232</v>
      </c>
      <c r="D429" s="965">
        <v>11</v>
      </c>
      <c r="E429" s="1006">
        <f>E430+E434+E436+E439</f>
        <v>435000</v>
      </c>
      <c r="F429" s="1006">
        <f>F430+F434+F436+F439</f>
        <v>436000</v>
      </c>
      <c r="G429" s="1007">
        <f>G430+G434+G436+G439</f>
        <v>387000</v>
      </c>
      <c r="H429" s="22"/>
      <c r="I429" s="22"/>
      <c r="J429" s="22"/>
    </row>
    <row r="430" spans="1:10">
      <c r="A430" s="941">
        <v>321</v>
      </c>
      <c r="B430" s="942" t="s">
        <v>17</v>
      </c>
      <c r="C430" s="949" t="s">
        <v>232</v>
      </c>
      <c r="D430" s="996">
        <v>11</v>
      </c>
      <c r="E430" s="1014">
        <f t="shared" ref="E430:F430" si="225">SUM(E431:E433)</f>
        <v>145000</v>
      </c>
      <c r="F430" s="1014">
        <f t="shared" si="225"/>
        <v>146000</v>
      </c>
      <c r="G430" s="1015">
        <f t="shared" ref="G430" si="226">SUM(G431:G433)</f>
        <v>147000</v>
      </c>
    </row>
    <row r="431" spans="1:10">
      <c r="A431" s="947">
        <v>3211</v>
      </c>
      <c r="B431" s="885" t="s">
        <v>19</v>
      </c>
      <c r="C431" s="967" t="s">
        <v>232</v>
      </c>
      <c r="D431" s="1002">
        <v>11</v>
      </c>
      <c r="E431" s="915">
        <v>70000</v>
      </c>
      <c r="F431" s="915">
        <v>70000</v>
      </c>
      <c r="G431" s="916">
        <v>70000</v>
      </c>
    </row>
    <row r="432" spans="1:10">
      <c r="A432" s="947">
        <v>3212</v>
      </c>
      <c r="B432" s="885" t="s">
        <v>21</v>
      </c>
      <c r="C432" s="943" t="s">
        <v>232</v>
      </c>
      <c r="D432" s="1002">
        <v>11</v>
      </c>
      <c r="E432" s="915">
        <v>25000</v>
      </c>
      <c r="F432" s="915">
        <v>26000</v>
      </c>
      <c r="G432" s="916">
        <v>27000</v>
      </c>
    </row>
    <row r="433" spans="1:10">
      <c r="A433" s="947">
        <v>3213</v>
      </c>
      <c r="B433" s="885" t="s">
        <v>23</v>
      </c>
      <c r="C433" s="943" t="s">
        <v>232</v>
      </c>
      <c r="D433" s="1002">
        <v>11</v>
      </c>
      <c r="E433" s="915">
        <v>50000</v>
      </c>
      <c r="F433" s="915">
        <v>50000</v>
      </c>
      <c r="G433" s="916">
        <v>50000</v>
      </c>
    </row>
    <row r="434" spans="1:10">
      <c r="A434" s="941">
        <v>322</v>
      </c>
      <c r="B434" s="942" t="s">
        <v>25</v>
      </c>
      <c r="C434" s="948" t="s">
        <v>232</v>
      </c>
      <c r="D434" s="996">
        <v>11</v>
      </c>
      <c r="E434" s="1014">
        <f t="shared" ref="E434:G434" si="227">E435</f>
        <v>50000</v>
      </c>
      <c r="F434" s="1014">
        <f t="shared" si="227"/>
        <v>50000</v>
      </c>
      <c r="G434" s="1015">
        <f t="shared" si="227"/>
        <v>50000</v>
      </c>
    </row>
    <row r="435" spans="1:10">
      <c r="A435" s="947">
        <v>3221</v>
      </c>
      <c r="B435" s="885" t="s">
        <v>27</v>
      </c>
      <c r="C435" s="943" t="s">
        <v>232</v>
      </c>
      <c r="D435" s="1002">
        <v>11</v>
      </c>
      <c r="E435" s="915">
        <v>50000</v>
      </c>
      <c r="F435" s="915">
        <v>50000</v>
      </c>
      <c r="G435" s="916">
        <v>50000</v>
      </c>
    </row>
    <row r="436" spans="1:10">
      <c r="A436" s="941">
        <v>323</v>
      </c>
      <c r="B436" s="942" t="s">
        <v>35</v>
      </c>
      <c r="C436" s="893" t="s">
        <v>232</v>
      </c>
      <c r="D436" s="996">
        <v>11</v>
      </c>
      <c r="E436" s="1014">
        <f>SUM(E437:E438)</f>
        <v>190000</v>
      </c>
      <c r="F436" s="1014">
        <f>SUM(F437:F438)</f>
        <v>190000</v>
      </c>
      <c r="G436" s="1015">
        <f>SUM(G437:G438)</f>
        <v>190000</v>
      </c>
    </row>
    <row r="437" spans="1:10">
      <c r="A437" s="912">
        <v>3233</v>
      </c>
      <c r="B437" s="885" t="s">
        <v>41</v>
      </c>
      <c r="C437" s="896" t="s">
        <v>232</v>
      </c>
      <c r="D437" s="1002">
        <v>11</v>
      </c>
      <c r="E437" s="915">
        <v>40000</v>
      </c>
      <c r="F437" s="915">
        <v>40000</v>
      </c>
      <c r="G437" s="916">
        <v>40000</v>
      </c>
    </row>
    <row r="438" spans="1:10">
      <c r="A438" s="912">
        <v>3237</v>
      </c>
      <c r="B438" s="885" t="s">
        <v>49</v>
      </c>
      <c r="C438" s="896" t="s">
        <v>232</v>
      </c>
      <c r="D438" s="1002">
        <v>11</v>
      </c>
      <c r="E438" s="915">
        <v>150000</v>
      </c>
      <c r="F438" s="915">
        <v>150000</v>
      </c>
      <c r="G438" s="916">
        <v>150000</v>
      </c>
    </row>
    <row r="439" spans="1:10">
      <c r="A439" s="941">
        <v>329</v>
      </c>
      <c r="B439" s="942" t="s">
        <v>58</v>
      </c>
      <c r="C439" s="948" t="s">
        <v>232</v>
      </c>
      <c r="D439" s="996">
        <v>11</v>
      </c>
      <c r="E439" s="1014">
        <f t="shared" ref="E439:G439" si="228">E440</f>
        <v>50000</v>
      </c>
      <c r="F439" s="1014">
        <f t="shared" si="228"/>
        <v>50000</v>
      </c>
      <c r="G439" s="1015">
        <f t="shared" si="228"/>
        <v>0</v>
      </c>
    </row>
    <row r="440" spans="1:10">
      <c r="A440" s="962">
        <v>3293</v>
      </c>
      <c r="B440" s="963" t="s">
        <v>64</v>
      </c>
      <c r="C440" s="943" t="s">
        <v>232</v>
      </c>
      <c r="D440" s="1002">
        <v>11</v>
      </c>
      <c r="E440" s="915">
        <v>50000</v>
      </c>
      <c r="F440" s="915">
        <v>50000</v>
      </c>
      <c r="G440" s="916"/>
    </row>
    <row r="441" spans="1:10">
      <c r="A441" s="964">
        <v>41</v>
      </c>
      <c r="B441" s="965" t="s">
        <v>479</v>
      </c>
      <c r="C441" s="937" t="s">
        <v>232</v>
      </c>
      <c r="D441" s="965">
        <v>11</v>
      </c>
      <c r="E441" s="1006">
        <f t="shared" ref="E441:G441" si="229">E442</f>
        <v>2000</v>
      </c>
      <c r="F441" s="1006">
        <f t="shared" si="229"/>
        <v>0</v>
      </c>
      <c r="G441" s="1007">
        <f t="shared" si="229"/>
        <v>0</v>
      </c>
      <c r="H441" s="22"/>
      <c r="I441" s="22"/>
      <c r="J441" s="22"/>
    </row>
    <row r="442" spans="1:10">
      <c r="A442" s="941">
        <v>412</v>
      </c>
      <c r="B442" s="942" t="s">
        <v>84</v>
      </c>
      <c r="C442" s="948" t="s">
        <v>232</v>
      </c>
      <c r="D442" s="996">
        <v>11</v>
      </c>
      <c r="E442" s="1014">
        <f t="shared" ref="E442:G442" si="230">E443</f>
        <v>2000</v>
      </c>
      <c r="F442" s="1014">
        <f t="shared" si="230"/>
        <v>0</v>
      </c>
      <c r="G442" s="1015">
        <f t="shared" si="230"/>
        <v>0</v>
      </c>
    </row>
    <row r="443" spans="1:10">
      <c r="A443" s="947">
        <v>4123</v>
      </c>
      <c r="B443" s="885" t="s">
        <v>86</v>
      </c>
      <c r="C443" s="943" t="s">
        <v>232</v>
      </c>
      <c r="D443" s="1002">
        <v>11</v>
      </c>
      <c r="E443" s="915">
        <v>2000</v>
      </c>
      <c r="F443" s="915"/>
      <c r="G443" s="916"/>
      <c r="H443" s="22"/>
    </row>
    <row r="444" spans="1:10">
      <c r="A444" s="964">
        <v>42</v>
      </c>
      <c r="B444" s="965" t="s">
        <v>480</v>
      </c>
      <c r="C444" s="937" t="s">
        <v>232</v>
      </c>
      <c r="D444" s="965">
        <v>11</v>
      </c>
      <c r="E444" s="1006">
        <f>E445</f>
        <v>23000</v>
      </c>
      <c r="F444" s="1006">
        <f t="shared" ref="F444:G444" si="231">F445</f>
        <v>0</v>
      </c>
      <c r="G444" s="1007">
        <f t="shared" si="231"/>
        <v>0</v>
      </c>
      <c r="H444" s="22"/>
      <c r="I444" s="22"/>
      <c r="J444" s="22"/>
    </row>
    <row r="445" spans="1:10">
      <c r="A445" s="1000">
        <v>422</v>
      </c>
      <c r="B445" s="996" t="s">
        <v>89</v>
      </c>
      <c r="C445" s="997" t="s">
        <v>232</v>
      </c>
      <c r="D445" s="996">
        <v>11</v>
      </c>
      <c r="E445" s="1014">
        <f t="shared" ref="E445:G445" si="232">E446</f>
        <v>23000</v>
      </c>
      <c r="F445" s="1014">
        <f t="shared" si="232"/>
        <v>0</v>
      </c>
      <c r="G445" s="1015">
        <f t="shared" si="232"/>
        <v>0</v>
      </c>
    </row>
    <row r="446" spans="1:10">
      <c r="A446" s="1020">
        <v>4221</v>
      </c>
      <c r="B446" s="1002" t="s">
        <v>91</v>
      </c>
      <c r="C446" s="1003" t="s">
        <v>232</v>
      </c>
      <c r="D446" s="1002">
        <v>11</v>
      </c>
      <c r="E446" s="915">
        <v>23000</v>
      </c>
      <c r="F446" s="915">
        <v>0</v>
      </c>
      <c r="G446" s="916">
        <v>0</v>
      </c>
    </row>
    <row r="447" spans="1:10">
      <c r="A447" s="930" t="s">
        <v>517</v>
      </c>
      <c r="B447" s="984" t="s">
        <v>518</v>
      </c>
      <c r="C447" s="984" t="s">
        <v>232</v>
      </c>
      <c r="D447" s="984">
        <v>565</v>
      </c>
      <c r="E447" s="917">
        <f>E448+E449+E450</f>
        <v>140058824</v>
      </c>
      <c r="F447" s="917">
        <f t="shared" ref="F447:G447" si="233">F448+F449+F450</f>
        <v>50694707.999875002</v>
      </c>
      <c r="G447" s="918">
        <f t="shared" si="233"/>
        <v>6000000</v>
      </c>
    </row>
    <row r="448" spans="1:10">
      <c r="A448" s="964">
        <v>51</v>
      </c>
      <c r="B448" s="965" t="s">
        <v>482</v>
      </c>
      <c r="C448" s="937" t="s">
        <v>232</v>
      </c>
      <c r="D448" s="965">
        <v>12</v>
      </c>
      <c r="E448" s="1006">
        <f t="shared" ref="E448:F448" si="234">E451+E460</f>
        <v>20558824</v>
      </c>
      <c r="F448" s="1006">
        <f t="shared" si="234"/>
        <v>6704208</v>
      </c>
      <c r="G448" s="1007">
        <f t="shared" ref="G448" si="235">G451+G460</f>
        <v>0</v>
      </c>
    </row>
    <row r="449" spans="1:7">
      <c r="A449" s="964">
        <v>51</v>
      </c>
      <c r="B449" s="965" t="s">
        <v>482</v>
      </c>
      <c r="C449" s="937" t="s">
        <v>232</v>
      </c>
      <c r="D449" s="965">
        <v>565</v>
      </c>
      <c r="E449" s="1006">
        <f t="shared" ref="E449:F449" si="236">E452+E461</f>
        <v>116500000</v>
      </c>
      <c r="F449" s="1006">
        <f t="shared" si="236"/>
        <v>37990499.999875002</v>
      </c>
      <c r="G449" s="1007">
        <f t="shared" ref="G449" si="237">G452+G461</f>
        <v>0</v>
      </c>
    </row>
    <row r="450" spans="1:7">
      <c r="A450" s="964">
        <v>51</v>
      </c>
      <c r="B450" s="965" t="s">
        <v>482</v>
      </c>
      <c r="C450" s="937" t="s">
        <v>232</v>
      </c>
      <c r="D450" s="965">
        <v>43</v>
      </c>
      <c r="E450" s="1006">
        <f>E453</f>
        <v>3000000</v>
      </c>
      <c r="F450" s="1006">
        <f t="shared" ref="F450:G450" si="238">F453</f>
        <v>6000000</v>
      </c>
      <c r="G450" s="1007">
        <f t="shared" si="238"/>
        <v>6000000</v>
      </c>
    </row>
    <row r="451" spans="1:7">
      <c r="A451" s="941">
        <v>516</v>
      </c>
      <c r="B451" s="942" t="s">
        <v>523</v>
      </c>
      <c r="C451" s="997" t="s">
        <v>232</v>
      </c>
      <c r="D451" s="996">
        <v>12</v>
      </c>
      <c r="E451" s="1014">
        <f>E454+E457</f>
        <v>10500000</v>
      </c>
      <c r="F451" s="1014">
        <f>F454+F457</f>
        <v>1674796</v>
      </c>
      <c r="G451" s="1015">
        <f t="shared" ref="G451" si="239">G454+G457</f>
        <v>0</v>
      </c>
    </row>
    <row r="452" spans="1:7">
      <c r="A452" s="941">
        <v>516</v>
      </c>
      <c r="B452" s="942" t="s">
        <v>523</v>
      </c>
      <c r="C452" s="997" t="s">
        <v>232</v>
      </c>
      <c r="D452" s="996">
        <v>565</v>
      </c>
      <c r="E452" s="1014">
        <f>E455+E458</f>
        <v>59500000</v>
      </c>
      <c r="F452" s="1014">
        <f>F455+F458</f>
        <v>9490499.9998749997</v>
      </c>
      <c r="G452" s="1015">
        <f t="shared" ref="G452:G453" si="240">G455+G458</f>
        <v>0</v>
      </c>
    </row>
    <row r="453" spans="1:7">
      <c r="A453" s="941">
        <v>516</v>
      </c>
      <c r="B453" s="942" t="s">
        <v>523</v>
      </c>
      <c r="C453" s="997" t="s">
        <v>232</v>
      </c>
      <c r="D453" s="996">
        <v>43</v>
      </c>
      <c r="E453" s="1014">
        <f>E456+E459</f>
        <v>3000000</v>
      </c>
      <c r="F453" s="1014">
        <f t="shared" ref="F453" si="241">F456+F459</f>
        <v>6000000</v>
      </c>
      <c r="G453" s="1015">
        <f t="shared" si="240"/>
        <v>6000000</v>
      </c>
    </row>
    <row r="454" spans="1:7">
      <c r="A454" s="969">
        <v>5163</v>
      </c>
      <c r="B454" s="963" t="s">
        <v>344</v>
      </c>
      <c r="C454" s="1003" t="s">
        <v>232</v>
      </c>
      <c r="D454" s="1002">
        <v>12</v>
      </c>
      <c r="E454" s="915">
        <v>1050000</v>
      </c>
      <c r="F454" s="915">
        <v>1172356</v>
      </c>
      <c r="G454" s="916"/>
    </row>
    <row r="455" spans="1:7">
      <c r="A455" s="969">
        <v>5163</v>
      </c>
      <c r="B455" s="963" t="s">
        <v>344</v>
      </c>
      <c r="C455" s="1003" t="s">
        <v>232</v>
      </c>
      <c r="D455" s="1002">
        <v>565</v>
      </c>
      <c r="E455" s="915">
        <v>5950000</v>
      </c>
      <c r="F455" s="915">
        <v>6643349.9999125004</v>
      </c>
      <c r="G455" s="916"/>
    </row>
    <row r="456" spans="1:7">
      <c r="A456" s="969">
        <v>5163</v>
      </c>
      <c r="B456" s="963" t="s">
        <v>344</v>
      </c>
      <c r="C456" s="1003" t="s">
        <v>232</v>
      </c>
      <c r="D456" s="1002">
        <v>43</v>
      </c>
      <c r="E456" s="915">
        <v>2000000</v>
      </c>
      <c r="F456" s="915">
        <v>4000000</v>
      </c>
      <c r="G456" s="916">
        <v>4000000</v>
      </c>
    </row>
    <row r="457" spans="1:7">
      <c r="A457" s="969">
        <v>5164</v>
      </c>
      <c r="B457" s="963" t="s">
        <v>345</v>
      </c>
      <c r="C457" s="1003" t="s">
        <v>232</v>
      </c>
      <c r="D457" s="1002">
        <v>12</v>
      </c>
      <c r="E457" s="915">
        <v>9450000</v>
      </c>
      <c r="F457" s="915">
        <v>502440</v>
      </c>
      <c r="G457" s="916"/>
    </row>
    <row r="458" spans="1:7">
      <c r="A458" s="969">
        <v>5164</v>
      </c>
      <c r="B458" s="963" t="s">
        <v>345</v>
      </c>
      <c r="C458" s="1003" t="s">
        <v>232</v>
      </c>
      <c r="D458" s="1002">
        <v>565</v>
      </c>
      <c r="E458" s="915">
        <v>53550000</v>
      </c>
      <c r="F458" s="915">
        <v>2847149.9999624998</v>
      </c>
      <c r="G458" s="916"/>
    </row>
    <row r="459" spans="1:7">
      <c r="A459" s="969">
        <v>5164</v>
      </c>
      <c r="B459" s="963" t="s">
        <v>345</v>
      </c>
      <c r="C459" s="1003" t="s">
        <v>232</v>
      </c>
      <c r="D459" s="1002">
        <v>43</v>
      </c>
      <c r="E459" s="915">
        <v>1000000</v>
      </c>
      <c r="F459" s="915">
        <v>2000000</v>
      </c>
      <c r="G459" s="916">
        <v>2000000</v>
      </c>
    </row>
    <row r="460" spans="1:7">
      <c r="A460" s="941">
        <v>518</v>
      </c>
      <c r="B460" s="942" t="s">
        <v>428</v>
      </c>
      <c r="C460" s="997" t="s">
        <v>232</v>
      </c>
      <c r="D460" s="996">
        <v>12</v>
      </c>
      <c r="E460" s="1014">
        <f>E462</f>
        <v>10058824</v>
      </c>
      <c r="F460" s="1014">
        <f t="shared" ref="F460:G460" si="242">F462</f>
        <v>5029412</v>
      </c>
      <c r="G460" s="1015">
        <f t="shared" si="242"/>
        <v>0</v>
      </c>
    </row>
    <row r="461" spans="1:7">
      <c r="A461" s="941">
        <v>518</v>
      </c>
      <c r="B461" s="942" t="s">
        <v>428</v>
      </c>
      <c r="C461" s="997" t="s">
        <v>232</v>
      </c>
      <c r="D461" s="996">
        <v>565</v>
      </c>
      <c r="E461" s="1014">
        <f>E463</f>
        <v>57000000</v>
      </c>
      <c r="F461" s="1014">
        <f t="shared" ref="F461:G461" si="243">F463</f>
        <v>28500000</v>
      </c>
      <c r="G461" s="1015">
        <f t="shared" si="243"/>
        <v>0</v>
      </c>
    </row>
    <row r="462" spans="1:7" ht="14.25" customHeight="1">
      <c r="A462" s="969">
        <v>5181</v>
      </c>
      <c r="B462" s="963" t="s">
        <v>429</v>
      </c>
      <c r="C462" s="1003" t="s">
        <v>232</v>
      </c>
      <c r="D462" s="1002">
        <v>12</v>
      </c>
      <c r="E462" s="915">
        <v>10058824</v>
      </c>
      <c r="F462" s="915">
        <v>5029412</v>
      </c>
      <c r="G462" s="916"/>
    </row>
    <row r="463" spans="1:7">
      <c r="A463" s="969">
        <v>5181</v>
      </c>
      <c r="B463" s="963" t="s">
        <v>429</v>
      </c>
      <c r="C463" s="1003" t="s">
        <v>232</v>
      </c>
      <c r="D463" s="1002">
        <v>565</v>
      </c>
      <c r="E463" s="915">
        <v>57000000</v>
      </c>
      <c r="F463" s="915">
        <v>28500000</v>
      </c>
      <c r="G463" s="916"/>
    </row>
    <row r="464" spans="1:7">
      <c r="A464" s="930" t="s">
        <v>535</v>
      </c>
      <c r="B464" s="931" t="s">
        <v>538</v>
      </c>
      <c r="C464" s="932" t="s">
        <v>232</v>
      </c>
      <c r="D464" s="933"/>
      <c r="E464" s="933">
        <f>E465+E466+E479+E480+E519+E520+E525+E526+E513+E514</f>
        <v>4552500</v>
      </c>
      <c r="F464" s="933">
        <f>F465+F466+F479+F480+F519+F520+F525+F526+F513+F514</f>
        <v>4371960</v>
      </c>
      <c r="G464" s="934">
        <f>G465+G466+G479+G480+G519+G520+G525+G526+G513+G514</f>
        <v>4389100</v>
      </c>
    </row>
    <row r="465" spans="1:11">
      <c r="A465" s="935">
        <v>31</v>
      </c>
      <c r="B465" s="936" t="s">
        <v>474</v>
      </c>
      <c r="C465" s="937" t="s">
        <v>232</v>
      </c>
      <c r="D465" s="939">
        <v>12</v>
      </c>
      <c r="E465" s="938">
        <f t="shared" ref="E465:G466" si="244">E467+E471+E475</f>
        <v>549125</v>
      </c>
      <c r="F465" s="938">
        <f t="shared" si="244"/>
        <v>549685</v>
      </c>
      <c r="G465" s="940">
        <f t="shared" si="244"/>
        <v>552825</v>
      </c>
      <c r="H465" s="22"/>
      <c r="I465" s="22"/>
      <c r="J465" s="22"/>
    </row>
    <row r="466" spans="1:11">
      <c r="A466" s="935">
        <v>31</v>
      </c>
      <c r="B466" s="936" t="s">
        <v>474</v>
      </c>
      <c r="C466" s="937" t="s">
        <v>232</v>
      </c>
      <c r="D466" s="939">
        <v>565</v>
      </c>
      <c r="E466" s="938">
        <f t="shared" si="244"/>
        <v>3101375</v>
      </c>
      <c r="F466" s="938">
        <f t="shared" si="244"/>
        <v>3115275</v>
      </c>
      <c r="G466" s="940">
        <f t="shared" si="244"/>
        <v>3129275</v>
      </c>
      <c r="H466" s="22"/>
      <c r="I466" s="22"/>
      <c r="J466" s="22"/>
    </row>
    <row r="467" spans="1:11" ht="13.9" customHeight="1">
      <c r="A467" s="941">
        <v>311</v>
      </c>
      <c r="B467" s="942" t="s">
        <v>2</v>
      </c>
      <c r="C467" s="948" t="s">
        <v>232</v>
      </c>
      <c r="D467" s="948">
        <v>12</v>
      </c>
      <c r="E467" s="944">
        <f>E469</f>
        <v>420000</v>
      </c>
      <c r="F467" s="944">
        <f t="shared" ref="F467:G467" si="245">F469</f>
        <v>420210</v>
      </c>
      <c r="G467" s="946">
        <f t="shared" si="245"/>
        <v>423000</v>
      </c>
    </row>
    <row r="468" spans="1:11">
      <c r="A468" s="941">
        <v>311</v>
      </c>
      <c r="B468" s="942" t="s">
        <v>2</v>
      </c>
      <c r="C468" s="948" t="s">
        <v>232</v>
      </c>
      <c r="D468" s="948" t="s">
        <v>521</v>
      </c>
      <c r="E468" s="944">
        <f>E470</f>
        <v>2380000</v>
      </c>
      <c r="F468" s="944">
        <f t="shared" ref="F468:G468" si="246">F470</f>
        <v>2391900</v>
      </c>
      <c r="G468" s="946">
        <f t="shared" si="246"/>
        <v>2403900</v>
      </c>
      <c r="H468" s="22"/>
      <c r="I468" s="22"/>
      <c r="J468" s="22"/>
      <c r="K468" s="22"/>
    </row>
    <row r="469" spans="1:11">
      <c r="A469" s="947">
        <v>3111</v>
      </c>
      <c r="B469" s="885" t="s">
        <v>4</v>
      </c>
      <c r="C469" s="943" t="s">
        <v>232</v>
      </c>
      <c r="D469" s="943" t="s">
        <v>82</v>
      </c>
      <c r="E469" s="960">
        <v>420000</v>
      </c>
      <c r="F469" s="960">
        <v>420210</v>
      </c>
      <c r="G469" s="961">
        <v>423000</v>
      </c>
      <c r="H469" s="22"/>
      <c r="I469" s="22"/>
      <c r="J469" s="22"/>
    </row>
    <row r="470" spans="1:11">
      <c r="A470" s="947">
        <v>3111</v>
      </c>
      <c r="B470" s="885" t="s">
        <v>4</v>
      </c>
      <c r="C470" s="943" t="s">
        <v>232</v>
      </c>
      <c r="D470" s="943" t="s">
        <v>521</v>
      </c>
      <c r="E470" s="960">
        <v>2380000</v>
      </c>
      <c r="F470" s="960">
        <v>2391900</v>
      </c>
      <c r="G470" s="961">
        <v>2403900</v>
      </c>
    </row>
    <row r="471" spans="1:11">
      <c r="A471" s="941">
        <v>312</v>
      </c>
      <c r="B471" s="942" t="s">
        <v>8</v>
      </c>
      <c r="C471" s="943" t="s">
        <v>232</v>
      </c>
      <c r="D471" s="948">
        <v>12</v>
      </c>
      <c r="E471" s="944">
        <f t="shared" ref="E471:F471" si="247">E473</f>
        <v>49125</v>
      </c>
      <c r="F471" s="944">
        <f t="shared" si="247"/>
        <v>49125</v>
      </c>
      <c r="G471" s="946">
        <f t="shared" ref="G471" si="248">G473</f>
        <v>49125</v>
      </c>
    </row>
    <row r="472" spans="1:11">
      <c r="A472" s="941">
        <v>312</v>
      </c>
      <c r="B472" s="942" t="s">
        <v>8</v>
      </c>
      <c r="C472" s="943" t="s">
        <v>232</v>
      </c>
      <c r="D472" s="948" t="s">
        <v>521</v>
      </c>
      <c r="E472" s="944">
        <f>E474</f>
        <v>328375</v>
      </c>
      <c r="F472" s="944">
        <f t="shared" ref="F472:G472" si="249">F474</f>
        <v>328375</v>
      </c>
      <c r="G472" s="946">
        <f t="shared" si="249"/>
        <v>328375</v>
      </c>
    </row>
    <row r="473" spans="1:11">
      <c r="A473" s="947">
        <v>3121</v>
      </c>
      <c r="B473" s="885" t="s">
        <v>8</v>
      </c>
      <c r="C473" s="943" t="s">
        <v>232</v>
      </c>
      <c r="D473" s="943" t="s">
        <v>82</v>
      </c>
      <c r="E473" s="960">
        <v>49125</v>
      </c>
      <c r="F473" s="960">
        <v>49125</v>
      </c>
      <c r="G473" s="961">
        <v>49125</v>
      </c>
    </row>
    <row r="474" spans="1:11">
      <c r="A474" s="947">
        <v>3121</v>
      </c>
      <c r="B474" s="885" t="s">
        <v>8</v>
      </c>
      <c r="C474" s="943" t="s">
        <v>232</v>
      </c>
      <c r="D474" s="943" t="s">
        <v>521</v>
      </c>
      <c r="E474" s="960">
        <f>278375+50000</f>
        <v>328375</v>
      </c>
      <c r="F474" s="960">
        <f>278375+50000</f>
        <v>328375</v>
      </c>
      <c r="G474" s="961">
        <f>278375+50000</f>
        <v>328375</v>
      </c>
    </row>
    <row r="475" spans="1:11">
      <c r="A475" s="941">
        <v>313</v>
      </c>
      <c r="B475" s="942" t="s">
        <v>11</v>
      </c>
      <c r="C475" s="943" t="s">
        <v>232</v>
      </c>
      <c r="D475" s="948">
        <v>12</v>
      </c>
      <c r="E475" s="944">
        <f>E477</f>
        <v>80000</v>
      </c>
      <c r="F475" s="944">
        <f t="shared" ref="F475:G475" si="250">F477</f>
        <v>80350</v>
      </c>
      <c r="G475" s="946">
        <f t="shared" si="250"/>
        <v>80700</v>
      </c>
    </row>
    <row r="476" spans="1:11">
      <c r="A476" s="941">
        <v>313</v>
      </c>
      <c r="B476" s="942" t="s">
        <v>11</v>
      </c>
      <c r="C476" s="943" t="s">
        <v>232</v>
      </c>
      <c r="D476" s="948" t="s">
        <v>521</v>
      </c>
      <c r="E476" s="944">
        <f>E478</f>
        <v>393000</v>
      </c>
      <c r="F476" s="944">
        <f t="shared" ref="F476:G476" si="251">F478</f>
        <v>395000</v>
      </c>
      <c r="G476" s="946">
        <f t="shared" si="251"/>
        <v>397000</v>
      </c>
    </row>
    <row r="477" spans="1:11">
      <c r="A477" s="947">
        <v>3132</v>
      </c>
      <c r="B477" s="885" t="s">
        <v>13</v>
      </c>
      <c r="C477" s="943" t="s">
        <v>232</v>
      </c>
      <c r="D477" s="943" t="s">
        <v>82</v>
      </c>
      <c r="E477" s="960">
        <f>70000+10000</f>
        <v>80000</v>
      </c>
      <c r="F477" s="960">
        <f>70350+10000</f>
        <v>80350</v>
      </c>
      <c r="G477" s="961">
        <f>70700+10000</f>
        <v>80700</v>
      </c>
    </row>
    <row r="478" spans="1:11">
      <c r="A478" s="947">
        <v>3132</v>
      </c>
      <c r="B478" s="885" t="s">
        <v>13</v>
      </c>
      <c r="C478" s="943" t="s">
        <v>232</v>
      </c>
      <c r="D478" s="943" t="s">
        <v>521</v>
      </c>
      <c r="E478" s="960">
        <v>393000</v>
      </c>
      <c r="F478" s="960">
        <v>395000</v>
      </c>
      <c r="G478" s="961">
        <v>397000</v>
      </c>
    </row>
    <row r="479" spans="1:11">
      <c r="A479" s="935">
        <v>32</v>
      </c>
      <c r="B479" s="936" t="s">
        <v>476</v>
      </c>
      <c r="C479" s="937" t="s">
        <v>232</v>
      </c>
      <c r="D479" s="939">
        <v>12</v>
      </c>
      <c r="E479" s="938">
        <f t="shared" ref="E479:G480" si="252">E481+E493+E507+E489</f>
        <v>96350</v>
      </c>
      <c r="F479" s="938">
        <f t="shared" si="252"/>
        <v>96350</v>
      </c>
      <c r="G479" s="940">
        <f t="shared" si="252"/>
        <v>96350</v>
      </c>
    </row>
    <row r="480" spans="1:11">
      <c r="A480" s="935">
        <v>32</v>
      </c>
      <c r="B480" s="936" t="s">
        <v>476</v>
      </c>
      <c r="C480" s="937" t="s">
        <v>232</v>
      </c>
      <c r="D480" s="939">
        <v>565</v>
      </c>
      <c r="E480" s="938">
        <f t="shared" si="252"/>
        <v>508650</v>
      </c>
      <c r="F480" s="938">
        <f t="shared" si="252"/>
        <v>508650</v>
      </c>
      <c r="G480" s="940">
        <f t="shared" si="252"/>
        <v>508650</v>
      </c>
    </row>
    <row r="481" spans="1:7">
      <c r="A481" s="941">
        <v>321</v>
      </c>
      <c r="B481" s="942" t="s">
        <v>17</v>
      </c>
      <c r="C481" s="948" t="s">
        <v>232</v>
      </c>
      <c r="D481" s="949" t="s">
        <v>82</v>
      </c>
      <c r="E481" s="944">
        <f>E485+E483+E487</f>
        <v>23500</v>
      </c>
      <c r="F481" s="944">
        <f t="shared" ref="F481:G481" si="253">F485+F483+F487</f>
        <v>23500</v>
      </c>
      <c r="G481" s="946">
        <f t="shared" si="253"/>
        <v>23500</v>
      </c>
    </row>
    <row r="482" spans="1:7">
      <c r="A482" s="941">
        <v>321</v>
      </c>
      <c r="B482" s="942" t="s">
        <v>17</v>
      </c>
      <c r="C482" s="948" t="s">
        <v>232</v>
      </c>
      <c r="D482" s="949" t="s">
        <v>521</v>
      </c>
      <c r="E482" s="944">
        <f>E486+E484+E488</f>
        <v>120500</v>
      </c>
      <c r="F482" s="944">
        <f t="shared" ref="F482:G482" si="254">F486+F484+F488</f>
        <v>120500</v>
      </c>
      <c r="G482" s="946">
        <f t="shared" si="254"/>
        <v>120500</v>
      </c>
    </row>
    <row r="483" spans="1:7">
      <c r="A483" s="947">
        <v>3211</v>
      </c>
      <c r="B483" s="885" t="s">
        <v>19</v>
      </c>
      <c r="C483" s="943" t="s">
        <v>232</v>
      </c>
      <c r="D483" s="945" t="s">
        <v>82</v>
      </c>
      <c r="E483" s="886">
        <v>7500</v>
      </c>
      <c r="F483" s="886">
        <v>7500</v>
      </c>
      <c r="G483" s="906">
        <v>7500</v>
      </c>
    </row>
    <row r="484" spans="1:7">
      <c r="A484" s="947">
        <v>3211</v>
      </c>
      <c r="B484" s="885" t="s">
        <v>19</v>
      </c>
      <c r="C484" s="943" t="s">
        <v>232</v>
      </c>
      <c r="D484" s="945" t="s">
        <v>521</v>
      </c>
      <c r="E484" s="886">
        <v>42500</v>
      </c>
      <c r="F484" s="886">
        <v>42500</v>
      </c>
      <c r="G484" s="906">
        <v>42500</v>
      </c>
    </row>
    <row r="485" spans="1:7">
      <c r="A485" s="947">
        <v>3212</v>
      </c>
      <c r="B485" s="885" t="s">
        <v>21</v>
      </c>
      <c r="C485" s="943" t="s">
        <v>232</v>
      </c>
      <c r="D485" s="943" t="s">
        <v>82</v>
      </c>
      <c r="E485" s="960">
        <v>12000</v>
      </c>
      <c r="F485" s="960">
        <v>12000</v>
      </c>
      <c r="G485" s="961">
        <v>12000</v>
      </c>
    </row>
    <row r="486" spans="1:7">
      <c r="A486" s="947">
        <v>3212</v>
      </c>
      <c r="B486" s="885" t="s">
        <v>21</v>
      </c>
      <c r="C486" s="943" t="s">
        <v>232</v>
      </c>
      <c r="D486" s="943" t="s">
        <v>521</v>
      </c>
      <c r="E486" s="960">
        <v>64000</v>
      </c>
      <c r="F486" s="960">
        <v>64000</v>
      </c>
      <c r="G486" s="961">
        <v>64000</v>
      </c>
    </row>
    <row r="487" spans="1:7">
      <c r="A487" s="905">
        <v>3213</v>
      </c>
      <c r="B487" s="885" t="s">
        <v>23</v>
      </c>
      <c r="C487" s="943" t="s">
        <v>232</v>
      </c>
      <c r="D487" s="943" t="s">
        <v>82</v>
      </c>
      <c r="E487" s="960">
        <v>4000</v>
      </c>
      <c r="F487" s="960">
        <v>4000</v>
      </c>
      <c r="G487" s="961">
        <v>4000</v>
      </c>
    </row>
    <row r="488" spans="1:7">
      <c r="A488" s="905">
        <v>3213</v>
      </c>
      <c r="B488" s="885" t="s">
        <v>23</v>
      </c>
      <c r="C488" s="943" t="s">
        <v>232</v>
      </c>
      <c r="D488" s="943" t="s">
        <v>521</v>
      </c>
      <c r="E488" s="960">
        <v>14000</v>
      </c>
      <c r="F488" s="960">
        <v>14000</v>
      </c>
      <c r="G488" s="961">
        <v>14000</v>
      </c>
    </row>
    <row r="489" spans="1:7">
      <c r="A489" s="941">
        <v>322</v>
      </c>
      <c r="B489" s="942" t="s">
        <v>25</v>
      </c>
      <c r="C489" s="948" t="s">
        <v>232</v>
      </c>
      <c r="D489" s="948" t="s">
        <v>82</v>
      </c>
      <c r="E489" s="944">
        <f t="shared" ref="E489:F489" si="255">E491</f>
        <v>3000</v>
      </c>
      <c r="F489" s="944">
        <f t="shared" si="255"/>
        <v>3000</v>
      </c>
      <c r="G489" s="946">
        <f t="shared" ref="G489" si="256">G491</f>
        <v>3000</v>
      </c>
    </row>
    <row r="490" spans="1:7">
      <c r="A490" s="941">
        <v>322</v>
      </c>
      <c r="B490" s="942" t="s">
        <v>25</v>
      </c>
      <c r="C490" s="948" t="s">
        <v>232</v>
      </c>
      <c r="D490" s="948" t="s">
        <v>521</v>
      </c>
      <c r="E490" s="944">
        <f t="shared" ref="E490:G490" si="257">E492</f>
        <v>17000</v>
      </c>
      <c r="F490" s="944">
        <f t="shared" si="257"/>
        <v>17000</v>
      </c>
      <c r="G490" s="946">
        <f t="shared" si="257"/>
        <v>17000</v>
      </c>
    </row>
    <row r="491" spans="1:7">
      <c r="A491" s="947">
        <v>3223</v>
      </c>
      <c r="B491" s="950" t="s">
        <v>29</v>
      </c>
      <c r="C491" s="943" t="s">
        <v>232</v>
      </c>
      <c r="D491" s="943" t="s">
        <v>82</v>
      </c>
      <c r="E491" s="960">
        <v>3000</v>
      </c>
      <c r="F491" s="960">
        <v>3000</v>
      </c>
      <c r="G491" s="961">
        <v>3000</v>
      </c>
    </row>
    <row r="492" spans="1:7">
      <c r="A492" s="947">
        <v>3223</v>
      </c>
      <c r="B492" s="950" t="s">
        <v>29</v>
      </c>
      <c r="C492" s="943" t="s">
        <v>232</v>
      </c>
      <c r="D492" s="943" t="s">
        <v>521</v>
      </c>
      <c r="E492" s="960">
        <v>17000</v>
      </c>
      <c r="F492" s="960">
        <v>17000</v>
      </c>
      <c r="G492" s="961">
        <v>17000</v>
      </c>
    </row>
    <row r="493" spans="1:7">
      <c r="A493" s="957">
        <v>323</v>
      </c>
      <c r="B493" s="942" t="s">
        <v>35</v>
      </c>
      <c r="C493" s="948" t="s">
        <v>232</v>
      </c>
      <c r="D493" s="948" t="s">
        <v>82</v>
      </c>
      <c r="E493" s="944">
        <f>E505+E499+E495+E501+E503+E497</f>
        <v>64600</v>
      </c>
      <c r="F493" s="944">
        <f t="shared" ref="F493:G493" si="258">F505+F499+F495+F501+F503+F497</f>
        <v>64600</v>
      </c>
      <c r="G493" s="946">
        <f t="shared" si="258"/>
        <v>64600</v>
      </c>
    </row>
    <row r="494" spans="1:7">
      <c r="A494" s="957">
        <v>323</v>
      </c>
      <c r="B494" s="942" t="s">
        <v>35</v>
      </c>
      <c r="C494" s="948" t="s">
        <v>232</v>
      </c>
      <c r="D494" s="948" t="s">
        <v>521</v>
      </c>
      <c r="E494" s="944">
        <f>E506+E500+E496+E498+E502+E504</f>
        <v>341400</v>
      </c>
      <c r="F494" s="944">
        <f t="shared" ref="F494:G494" si="259">F506+F500+F496+F498+F502+F504</f>
        <v>341400</v>
      </c>
      <c r="G494" s="946">
        <f t="shared" si="259"/>
        <v>341400</v>
      </c>
    </row>
    <row r="495" spans="1:7">
      <c r="A495" s="947">
        <v>3232</v>
      </c>
      <c r="B495" s="885" t="s">
        <v>39</v>
      </c>
      <c r="C495" s="943" t="s">
        <v>232</v>
      </c>
      <c r="D495" s="943" t="s">
        <v>82</v>
      </c>
      <c r="E495" s="960">
        <v>3600</v>
      </c>
      <c r="F495" s="960">
        <v>3600</v>
      </c>
      <c r="G495" s="961">
        <v>3600</v>
      </c>
    </row>
    <row r="496" spans="1:7">
      <c r="A496" s="947">
        <v>3232</v>
      </c>
      <c r="B496" s="885" t="s">
        <v>39</v>
      </c>
      <c r="C496" s="943" t="s">
        <v>232</v>
      </c>
      <c r="D496" s="943" t="s">
        <v>521</v>
      </c>
      <c r="E496" s="960">
        <v>20400</v>
      </c>
      <c r="F496" s="960">
        <v>20400</v>
      </c>
      <c r="G496" s="961">
        <v>20400</v>
      </c>
    </row>
    <row r="497" spans="1:29">
      <c r="A497" s="947">
        <v>3233</v>
      </c>
      <c r="B497" s="885" t="s">
        <v>41</v>
      </c>
      <c r="C497" s="943" t="s">
        <v>232</v>
      </c>
      <c r="D497" s="943" t="s">
        <v>82</v>
      </c>
      <c r="E497" s="960">
        <v>9000</v>
      </c>
      <c r="F497" s="960">
        <v>9000</v>
      </c>
      <c r="G497" s="961">
        <v>9000</v>
      </c>
    </row>
    <row r="498" spans="1:29">
      <c r="A498" s="947">
        <v>3233</v>
      </c>
      <c r="B498" s="885" t="s">
        <v>41</v>
      </c>
      <c r="C498" s="943" t="s">
        <v>232</v>
      </c>
      <c r="D498" s="943" t="s">
        <v>521</v>
      </c>
      <c r="E498" s="960">
        <v>51000</v>
      </c>
      <c r="F498" s="960">
        <v>51000</v>
      </c>
      <c r="G498" s="961">
        <v>51000</v>
      </c>
    </row>
    <row r="499" spans="1:29">
      <c r="A499" s="947">
        <v>3234</v>
      </c>
      <c r="B499" s="885" t="s">
        <v>43</v>
      </c>
      <c r="C499" s="943" t="s">
        <v>232</v>
      </c>
      <c r="D499" s="943" t="s">
        <v>82</v>
      </c>
      <c r="E499" s="960">
        <v>3000</v>
      </c>
      <c r="F499" s="960">
        <v>3000</v>
      </c>
      <c r="G499" s="961">
        <v>3000</v>
      </c>
    </row>
    <row r="500" spans="1:29">
      <c r="A500" s="947">
        <v>3234</v>
      </c>
      <c r="B500" s="885" t="s">
        <v>43</v>
      </c>
      <c r="C500" s="943" t="s">
        <v>232</v>
      </c>
      <c r="D500" s="943" t="s">
        <v>521</v>
      </c>
      <c r="E500" s="960">
        <v>17000</v>
      </c>
      <c r="F500" s="960">
        <v>17000</v>
      </c>
      <c r="G500" s="961">
        <v>17000</v>
      </c>
    </row>
    <row r="501" spans="1:29">
      <c r="A501" s="905">
        <v>3235</v>
      </c>
      <c r="B501" s="885" t="s">
        <v>45</v>
      </c>
      <c r="C501" s="943" t="s">
        <v>232</v>
      </c>
      <c r="D501" s="943" t="s">
        <v>82</v>
      </c>
      <c r="E501" s="960">
        <f>16000+3000</f>
        <v>19000</v>
      </c>
      <c r="F501" s="960">
        <f t="shared" ref="F501:G501" si="260">16000+3000</f>
        <v>19000</v>
      </c>
      <c r="G501" s="961">
        <f t="shared" si="260"/>
        <v>19000</v>
      </c>
    </row>
    <row r="502" spans="1:29">
      <c r="A502" s="905">
        <v>3235</v>
      </c>
      <c r="B502" s="885" t="s">
        <v>45</v>
      </c>
      <c r="C502" s="943" t="s">
        <v>232</v>
      </c>
      <c r="D502" s="943" t="s">
        <v>521</v>
      </c>
      <c r="E502" s="960">
        <f>88000+12000</f>
        <v>100000</v>
      </c>
      <c r="F502" s="960">
        <f t="shared" ref="F502:G502" si="261">88000+12000</f>
        <v>100000</v>
      </c>
      <c r="G502" s="961">
        <f t="shared" si="261"/>
        <v>100000</v>
      </c>
    </row>
    <row r="503" spans="1:29">
      <c r="A503" s="905">
        <v>3238</v>
      </c>
      <c r="B503" s="885" t="s">
        <v>51</v>
      </c>
      <c r="C503" s="943" t="s">
        <v>232</v>
      </c>
      <c r="D503" s="943" t="s">
        <v>82</v>
      </c>
      <c r="E503" s="960">
        <v>4500</v>
      </c>
      <c r="F503" s="960">
        <v>4500</v>
      </c>
      <c r="G503" s="961">
        <v>4500</v>
      </c>
    </row>
    <row r="504" spans="1:29">
      <c r="A504" s="905">
        <v>3238</v>
      </c>
      <c r="B504" s="885" t="s">
        <v>51</v>
      </c>
      <c r="C504" s="943" t="s">
        <v>232</v>
      </c>
      <c r="D504" s="943" t="s">
        <v>521</v>
      </c>
      <c r="E504" s="960">
        <v>25500</v>
      </c>
      <c r="F504" s="960">
        <v>25500</v>
      </c>
      <c r="G504" s="961">
        <v>25500</v>
      </c>
    </row>
    <row r="505" spans="1:29">
      <c r="A505" s="905">
        <v>3239</v>
      </c>
      <c r="B505" s="885" t="s">
        <v>53</v>
      </c>
      <c r="C505" s="943" t="s">
        <v>232</v>
      </c>
      <c r="D505" s="943" t="s">
        <v>82</v>
      </c>
      <c r="E505" s="960">
        <v>25500</v>
      </c>
      <c r="F505" s="960">
        <v>25500</v>
      </c>
      <c r="G505" s="961">
        <v>25500</v>
      </c>
    </row>
    <row r="506" spans="1:29">
      <c r="A506" s="905">
        <v>3239</v>
      </c>
      <c r="B506" s="885" t="s">
        <v>53</v>
      </c>
      <c r="C506" s="943" t="s">
        <v>232</v>
      </c>
      <c r="D506" s="943" t="s">
        <v>521</v>
      </c>
      <c r="E506" s="960">
        <v>127500</v>
      </c>
      <c r="F506" s="960">
        <v>127500</v>
      </c>
      <c r="G506" s="961">
        <v>127500</v>
      </c>
    </row>
    <row r="507" spans="1:29">
      <c r="A507" s="941">
        <v>329</v>
      </c>
      <c r="B507" s="942" t="s">
        <v>58</v>
      </c>
      <c r="C507" s="948" t="s">
        <v>232</v>
      </c>
      <c r="D507" s="948" t="s">
        <v>82</v>
      </c>
      <c r="E507" s="944">
        <f>E509+E511</f>
        <v>5250</v>
      </c>
      <c r="F507" s="944">
        <f t="shared" ref="F507:G507" si="262">F509+F511</f>
        <v>5250</v>
      </c>
      <c r="G507" s="946">
        <f t="shared" si="262"/>
        <v>5250</v>
      </c>
    </row>
    <row r="508" spans="1:29">
      <c r="A508" s="941">
        <v>329</v>
      </c>
      <c r="B508" s="942" t="s">
        <v>58</v>
      </c>
      <c r="C508" s="948" t="s">
        <v>232</v>
      </c>
      <c r="D508" s="948" t="s">
        <v>521</v>
      </c>
      <c r="E508" s="944">
        <f>E510+E512</f>
        <v>29750</v>
      </c>
      <c r="F508" s="944">
        <f t="shared" ref="F508:G508" si="263">F510+F512</f>
        <v>29750</v>
      </c>
      <c r="G508" s="946">
        <f t="shared" si="263"/>
        <v>29750</v>
      </c>
    </row>
    <row r="509" spans="1:29">
      <c r="A509" s="947">
        <v>3293</v>
      </c>
      <c r="B509" s="885" t="s">
        <v>64</v>
      </c>
      <c r="C509" s="943" t="s">
        <v>232</v>
      </c>
      <c r="D509" s="943" t="s">
        <v>82</v>
      </c>
      <c r="E509" s="960">
        <v>2250</v>
      </c>
      <c r="F509" s="960">
        <v>2250</v>
      </c>
      <c r="G509" s="961">
        <v>2250</v>
      </c>
    </row>
    <row r="510" spans="1:29">
      <c r="A510" s="947">
        <v>3293</v>
      </c>
      <c r="B510" s="885" t="s">
        <v>64</v>
      </c>
      <c r="C510" s="943" t="s">
        <v>232</v>
      </c>
      <c r="D510" s="943" t="s">
        <v>521</v>
      </c>
      <c r="E510" s="960">
        <v>12750</v>
      </c>
      <c r="F510" s="960">
        <v>12750</v>
      </c>
      <c r="G510" s="961">
        <v>12750</v>
      </c>
      <c r="AC510" s="321"/>
    </row>
    <row r="511" spans="1:29">
      <c r="A511" s="969">
        <v>3295</v>
      </c>
      <c r="B511" s="963" t="s">
        <v>68</v>
      </c>
      <c r="C511" s="943" t="s">
        <v>232</v>
      </c>
      <c r="D511" s="943" t="s">
        <v>82</v>
      </c>
      <c r="E511" s="960">
        <f>20000*15/100</f>
        <v>3000</v>
      </c>
      <c r="F511" s="960">
        <f>20000*15/100</f>
        <v>3000</v>
      </c>
      <c r="G511" s="961">
        <f>20000*15/100</f>
        <v>3000</v>
      </c>
      <c r="AC511" s="321"/>
    </row>
    <row r="512" spans="1:29">
      <c r="A512" s="969">
        <v>3295</v>
      </c>
      <c r="B512" s="963" t="s">
        <v>68</v>
      </c>
      <c r="C512" s="943" t="s">
        <v>232</v>
      </c>
      <c r="D512" s="943" t="s">
        <v>521</v>
      </c>
      <c r="E512" s="960">
        <f>20000*85/100</f>
        <v>17000</v>
      </c>
      <c r="F512" s="960">
        <f>20000*85/100</f>
        <v>17000</v>
      </c>
      <c r="G512" s="961">
        <f>20000*85/100</f>
        <v>17000</v>
      </c>
      <c r="AC512" s="321"/>
    </row>
    <row r="513" spans="1:29">
      <c r="A513" s="935">
        <v>34</v>
      </c>
      <c r="B513" s="936" t="s">
        <v>478</v>
      </c>
      <c r="C513" s="937" t="s">
        <v>232</v>
      </c>
      <c r="D513" s="939">
        <v>12</v>
      </c>
      <c r="E513" s="938">
        <f t="shared" ref="E513:F513" si="264">E515</f>
        <v>300</v>
      </c>
      <c r="F513" s="938">
        <f t="shared" si="264"/>
        <v>300</v>
      </c>
      <c r="G513" s="940">
        <f t="shared" ref="G513" si="265">G515</f>
        <v>300</v>
      </c>
      <c r="AC513" s="325" t="s">
        <v>73</v>
      </c>
    </row>
    <row r="514" spans="1:29">
      <c r="A514" s="935">
        <v>34</v>
      </c>
      <c r="B514" s="936" t="s">
        <v>478</v>
      </c>
      <c r="C514" s="937" t="s">
        <v>232</v>
      </c>
      <c r="D514" s="939">
        <v>565</v>
      </c>
      <c r="E514" s="938">
        <f t="shared" ref="E514:G514" si="266">E516</f>
        <v>1700</v>
      </c>
      <c r="F514" s="938">
        <f t="shared" si="266"/>
        <v>1700</v>
      </c>
      <c r="G514" s="940">
        <f t="shared" si="266"/>
        <v>1700</v>
      </c>
    </row>
    <row r="515" spans="1:29">
      <c r="A515" s="957">
        <v>343</v>
      </c>
      <c r="B515" s="942" t="s">
        <v>71</v>
      </c>
      <c r="C515" s="948" t="s">
        <v>232</v>
      </c>
      <c r="D515" s="948">
        <v>12</v>
      </c>
      <c r="E515" s="944">
        <f t="shared" ref="E515:F515" si="267">E517</f>
        <v>300</v>
      </c>
      <c r="F515" s="944">
        <f t="shared" si="267"/>
        <v>300</v>
      </c>
      <c r="G515" s="946">
        <f t="shared" ref="G515" si="268">G517</f>
        <v>300</v>
      </c>
    </row>
    <row r="516" spans="1:29">
      <c r="A516" s="957">
        <v>343</v>
      </c>
      <c r="B516" s="942" t="s">
        <v>71</v>
      </c>
      <c r="C516" s="948" t="s">
        <v>232</v>
      </c>
      <c r="D516" s="948" t="s">
        <v>521</v>
      </c>
      <c r="E516" s="944">
        <f t="shared" ref="E516:G516" si="269">E518</f>
        <v>1700</v>
      </c>
      <c r="F516" s="944">
        <f t="shared" si="269"/>
        <v>1700</v>
      </c>
      <c r="G516" s="946">
        <f t="shared" si="269"/>
        <v>1700</v>
      </c>
    </row>
    <row r="517" spans="1:29">
      <c r="A517" s="905">
        <v>3431</v>
      </c>
      <c r="B517" s="885" t="s">
        <v>73</v>
      </c>
      <c r="C517" s="943" t="s">
        <v>232</v>
      </c>
      <c r="D517" s="943" t="s">
        <v>82</v>
      </c>
      <c r="E517" s="960">
        <v>300</v>
      </c>
      <c r="F517" s="960">
        <v>300</v>
      </c>
      <c r="G517" s="961">
        <v>300</v>
      </c>
    </row>
    <row r="518" spans="1:29">
      <c r="A518" s="905">
        <v>3431</v>
      </c>
      <c r="B518" s="885" t="s">
        <v>73</v>
      </c>
      <c r="C518" s="943" t="s">
        <v>232</v>
      </c>
      <c r="D518" s="943" t="s">
        <v>521</v>
      </c>
      <c r="E518" s="960">
        <v>1700</v>
      </c>
      <c r="F518" s="960">
        <v>1700</v>
      </c>
      <c r="G518" s="961">
        <v>1700</v>
      </c>
    </row>
    <row r="519" spans="1:29">
      <c r="A519" s="935">
        <v>41</v>
      </c>
      <c r="B519" s="936" t="s">
        <v>479</v>
      </c>
      <c r="C519" s="937" t="s">
        <v>232</v>
      </c>
      <c r="D519" s="939">
        <v>12</v>
      </c>
      <c r="E519" s="938">
        <f t="shared" ref="E519:F519" si="270">E521</f>
        <v>600</v>
      </c>
      <c r="F519" s="938">
        <f t="shared" si="270"/>
        <v>0</v>
      </c>
      <c r="G519" s="940">
        <f t="shared" ref="G519" si="271">G521</f>
        <v>0</v>
      </c>
      <c r="H519" s="22"/>
      <c r="I519" s="22"/>
      <c r="J519" s="22"/>
    </row>
    <row r="520" spans="1:29">
      <c r="A520" s="935">
        <v>41</v>
      </c>
      <c r="B520" s="936" t="s">
        <v>479</v>
      </c>
      <c r="C520" s="937" t="s">
        <v>232</v>
      </c>
      <c r="D520" s="939">
        <v>565</v>
      </c>
      <c r="E520" s="938">
        <f t="shared" ref="E520:F520" si="272">E522</f>
        <v>3400</v>
      </c>
      <c r="F520" s="938">
        <f t="shared" si="272"/>
        <v>0</v>
      </c>
      <c r="G520" s="940">
        <f t="shared" ref="G520" si="273">G522</f>
        <v>0</v>
      </c>
    </row>
    <row r="521" spans="1:29">
      <c r="A521" s="941">
        <v>412</v>
      </c>
      <c r="B521" s="942" t="s">
        <v>84</v>
      </c>
      <c r="C521" s="943" t="s">
        <v>232</v>
      </c>
      <c r="D521" s="948">
        <v>12</v>
      </c>
      <c r="E521" s="944">
        <f t="shared" ref="E521:F521" si="274">E523</f>
        <v>600</v>
      </c>
      <c r="F521" s="944">
        <f t="shared" si="274"/>
        <v>0</v>
      </c>
      <c r="G521" s="946">
        <f t="shared" ref="G521" si="275">G523</f>
        <v>0</v>
      </c>
    </row>
    <row r="522" spans="1:29">
      <c r="A522" s="941">
        <v>412</v>
      </c>
      <c r="B522" s="942" t="s">
        <v>84</v>
      </c>
      <c r="C522" s="943" t="s">
        <v>232</v>
      </c>
      <c r="D522" s="948" t="s">
        <v>521</v>
      </c>
      <c r="E522" s="944">
        <f t="shared" ref="E522:F522" si="276">E524</f>
        <v>3400</v>
      </c>
      <c r="F522" s="944">
        <f t="shared" si="276"/>
        <v>0</v>
      </c>
      <c r="G522" s="946">
        <f t="shared" ref="G522" si="277">G524</f>
        <v>0</v>
      </c>
    </row>
    <row r="523" spans="1:29">
      <c r="A523" s="947">
        <v>4123</v>
      </c>
      <c r="B523" s="885" t="s">
        <v>86</v>
      </c>
      <c r="C523" s="943" t="s">
        <v>232</v>
      </c>
      <c r="D523" s="943" t="s">
        <v>82</v>
      </c>
      <c r="E523" s="960">
        <v>600</v>
      </c>
      <c r="F523" s="960"/>
      <c r="G523" s="961"/>
    </row>
    <row r="524" spans="1:29">
      <c r="A524" s="947">
        <v>4123</v>
      </c>
      <c r="B524" s="885" t="s">
        <v>86</v>
      </c>
      <c r="C524" s="943" t="s">
        <v>232</v>
      </c>
      <c r="D524" s="943" t="s">
        <v>521</v>
      </c>
      <c r="E524" s="960">
        <v>3400</v>
      </c>
      <c r="F524" s="960"/>
      <c r="G524" s="961"/>
    </row>
    <row r="525" spans="1:29">
      <c r="A525" s="964">
        <v>42</v>
      </c>
      <c r="B525" s="965" t="s">
        <v>480</v>
      </c>
      <c r="C525" s="937" t="s">
        <v>232</v>
      </c>
      <c r="D525" s="937" t="s">
        <v>82</v>
      </c>
      <c r="E525" s="938">
        <f>E527+E531</f>
        <v>43650</v>
      </c>
      <c r="F525" s="938">
        <f t="shared" ref="F525:G525" si="278">F527+F531</f>
        <v>15000</v>
      </c>
      <c r="G525" s="940">
        <f t="shared" si="278"/>
        <v>15000</v>
      </c>
    </row>
    <row r="526" spans="1:29">
      <c r="A526" s="964">
        <v>42</v>
      </c>
      <c r="B526" s="965" t="s">
        <v>480</v>
      </c>
      <c r="C526" s="937" t="s">
        <v>232</v>
      </c>
      <c r="D526" s="937" t="s">
        <v>521</v>
      </c>
      <c r="E526" s="938">
        <f>E528+E532</f>
        <v>247350</v>
      </c>
      <c r="F526" s="938">
        <f t="shared" ref="F526:G526" si="279">F528+F532</f>
        <v>85000</v>
      </c>
      <c r="G526" s="940">
        <f t="shared" si="279"/>
        <v>85000</v>
      </c>
    </row>
    <row r="527" spans="1:29">
      <c r="A527" s="941">
        <v>422</v>
      </c>
      <c r="B527" s="942" t="s">
        <v>89</v>
      </c>
      <c r="C527" s="943" t="s">
        <v>232</v>
      </c>
      <c r="D527" s="948" t="s">
        <v>82</v>
      </c>
      <c r="E527" s="944">
        <f>E529</f>
        <v>6900</v>
      </c>
      <c r="F527" s="944">
        <f t="shared" ref="F527" si="280">F529</f>
        <v>0</v>
      </c>
      <c r="G527" s="946">
        <f t="shared" ref="G527" si="281">G529</f>
        <v>0</v>
      </c>
    </row>
    <row r="528" spans="1:29">
      <c r="A528" s="941">
        <v>422</v>
      </c>
      <c r="B528" s="942" t="s">
        <v>89</v>
      </c>
      <c r="C528" s="943" t="s">
        <v>232</v>
      </c>
      <c r="D528" s="948" t="s">
        <v>521</v>
      </c>
      <c r="E528" s="944">
        <f>E530</f>
        <v>39100</v>
      </c>
      <c r="F528" s="944">
        <f t="shared" ref="F528" si="282">F530</f>
        <v>0</v>
      </c>
      <c r="G528" s="946">
        <f t="shared" ref="G528" si="283">G530</f>
        <v>0</v>
      </c>
    </row>
    <row r="529" spans="1:7">
      <c r="A529" s="947">
        <v>4221</v>
      </c>
      <c r="B529" s="885" t="s">
        <v>91</v>
      </c>
      <c r="C529" s="943" t="s">
        <v>232</v>
      </c>
      <c r="D529" s="943" t="s">
        <v>82</v>
      </c>
      <c r="E529" s="960">
        <v>6900</v>
      </c>
      <c r="F529" s="960">
        <v>0</v>
      </c>
      <c r="G529" s="961">
        <v>0</v>
      </c>
    </row>
    <row r="530" spans="1:7">
      <c r="A530" s="947">
        <v>4221</v>
      </c>
      <c r="B530" s="885" t="s">
        <v>91</v>
      </c>
      <c r="C530" s="943" t="s">
        <v>232</v>
      </c>
      <c r="D530" s="943" t="s">
        <v>521</v>
      </c>
      <c r="E530" s="960">
        <v>39100</v>
      </c>
      <c r="F530" s="960">
        <v>0</v>
      </c>
      <c r="G530" s="961">
        <v>0</v>
      </c>
    </row>
    <row r="531" spans="1:7">
      <c r="A531" s="957">
        <v>426</v>
      </c>
      <c r="B531" s="966" t="s">
        <v>363</v>
      </c>
      <c r="C531" s="948" t="s">
        <v>232</v>
      </c>
      <c r="D531" s="948" t="s">
        <v>82</v>
      </c>
      <c r="E531" s="944">
        <f>E533</f>
        <v>36750</v>
      </c>
      <c r="F531" s="944">
        <f t="shared" ref="F531" si="284">F533</f>
        <v>15000</v>
      </c>
      <c r="G531" s="946">
        <f t="shared" ref="G531" si="285">G533</f>
        <v>15000</v>
      </c>
    </row>
    <row r="532" spans="1:7">
      <c r="A532" s="957">
        <v>426</v>
      </c>
      <c r="B532" s="966" t="s">
        <v>363</v>
      </c>
      <c r="C532" s="948" t="s">
        <v>232</v>
      </c>
      <c r="D532" s="948" t="s">
        <v>521</v>
      </c>
      <c r="E532" s="944">
        <f>E534</f>
        <v>208250</v>
      </c>
      <c r="F532" s="944">
        <f t="shared" ref="F532:G532" si="286">F534</f>
        <v>85000</v>
      </c>
      <c r="G532" s="946">
        <f t="shared" si="286"/>
        <v>85000</v>
      </c>
    </row>
    <row r="533" spans="1:7">
      <c r="A533" s="905">
        <v>4262</v>
      </c>
      <c r="B533" s="885" t="s">
        <v>182</v>
      </c>
      <c r="C533" s="943" t="s">
        <v>232</v>
      </c>
      <c r="D533" s="943" t="s">
        <v>82</v>
      </c>
      <c r="E533" s="960">
        <v>36750</v>
      </c>
      <c r="F533" s="960">
        <v>15000</v>
      </c>
      <c r="G533" s="961">
        <v>15000</v>
      </c>
    </row>
    <row r="534" spans="1:7">
      <c r="A534" s="905">
        <v>4262</v>
      </c>
      <c r="B534" s="885" t="s">
        <v>182</v>
      </c>
      <c r="C534" s="943" t="s">
        <v>232</v>
      </c>
      <c r="D534" s="943" t="s">
        <v>521</v>
      </c>
      <c r="E534" s="960">
        <v>208250</v>
      </c>
      <c r="F534" s="960">
        <v>85000</v>
      </c>
      <c r="G534" s="961">
        <v>85000</v>
      </c>
    </row>
    <row r="535" spans="1:7">
      <c r="A535" s="930" t="s">
        <v>548</v>
      </c>
      <c r="B535" s="931" t="s">
        <v>546</v>
      </c>
      <c r="C535" s="932" t="s">
        <v>232</v>
      </c>
      <c r="D535" s="932">
        <v>11</v>
      </c>
      <c r="E535" s="933">
        <f>E536</f>
        <v>1000000</v>
      </c>
      <c r="F535" s="933">
        <f>F536</f>
        <v>2000000</v>
      </c>
      <c r="G535" s="934">
        <f>G536</f>
        <v>3000000</v>
      </c>
    </row>
    <row r="536" spans="1:7">
      <c r="A536" s="935">
        <v>32</v>
      </c>
      <c r="B536" s="936" t="s">
        <v>476</v>
      </c>
      <c r="C536" s="937" t="s">
        <v>232</v>
      </c>
      <c r="D536" s="937" t="s">
        <v>0</v>
      </c>
      <c r="E536" s="938">
        <f>E537</f>
        <v>1000000</v>
      </c>
      <c r="F536" s="938">
        <f>F537</f>
        <v>2000000</v>
      </c>
      <c r="G536" s="940">
        <f>G538+G539</f>
        <v>3000000</v>
      </c>
    </row>
    <row r="537" spans="1:7">
      <c r="A537" s="957">
        <v>323</v>
      </c>
      <c r="B537" s="942" t="s">
        <v>35</v>
      </c>
      <c r="C537" s="948" t="s">
        <v>232</v>
      </c>
      <c r="D537" s="948" t="s">
        <v>0</v>
      </c>
      <c r="E537" s="944">
        <f>E538</f>
        <v>1000000</v>
      </c>
      <c r="F537" s="944">
        <f>F538</f>
        <v>2000000</v>
      </c>
      <c r="G537" s="946">
        <f>G538</f>
        <v>3000000</v>
      </c>
    </row>
    <row r="538" spans="1:7" ht="15.75" thickBot="1">
      <c r="A538" s="1021">
        <v>3237</v>
      </c>
      <c r="B538" s="1022" t="s">
        <v>49</v>
      </c>
      <c r="C538" s="1023" t="s">
        <v>232</v>
      </c>
      <c r="D538" s="1023" t="s">
        <v>0</v>
      </c>
      <c r="E538" s="1024">
        <v>1000000</v>
      </c>
      <c r="F538" s="1024">
        <v>2000000</v>
      </c>
      <c r="G538" s="1025">
        <v>3000000</v>
      </c>
    </row>
    <row r="539" spans="1:7">
      <c r="A539" s="842"/>
      <c r="B539" s="843"/>
      <c r="C539" s="794"/>
      <c r="D539" s="794"/>
      <c r="E539" s="738"/>
      <c r="F539" s="738"/>
      <c r="G539" s="738"/>
    </row>
    <row r="540" spans="1:7">
      <c r="B540" s="839" t="s">
        <v>542</v>
      </c>
      <c r="E540" s="839" t="s">
        <v>555</v>
      </c>
    </row>
    <row r="541" spans="1:7">
      <c r="B541" t="s">
        <v>543</v>
      </c>
      <c r="E541" t="s">
        <v>544</v>
      </c>
    </row>
    <row r="542" spans="1:7">
      <c r="B542" s="839"/>
    </row>
    <row r="543" spans="1:7" ht="15.75" thickBot="1">
      <c r="B543" s="560"/>
      <c r="E543" s="560"/>
      <c r="F543" s="560"/>
      <c r="G543" s="560"/>
    </row>
    <row r="558" spans="1:1">
      <c r="A558"/>
    </row>
    <row r="559" spans="1:1">
      <c r="A559"/>
    </row>
    <row r="560" spans="1:1">
      <c r="A560"/>
    </row>
    <row r="561" spans="1:7">
      <c r="A561"/>
    </row>
    <row r="562" spans="1:7">
      <c r="A562"/>
    </row>
    <row r="563" spans="1:7">
      <c r="A563"/>
    </row>
    <row r="564" spans="1:7">
      <c r="A564"/>
    </row>
    <row r="565" spans="1:7">
      <c r="A565"/>
    </row>
    <row r="570" spans="1:7">
      <c r="A570" s="196"/>
      <c r="B570" s="196"/>
      <c r="C570" s="196"/>
      <c r="D570" s="196"/>
      <c r="E570" s="196"/>
      <c r="F570" s="196"/>
      <c r="G570" s="196"/>
    </row>
    <row r="571" spans="1:7">
      <c r="A571" s="196"/>
      <c r="B571" s="197"/>
      <c r="C571" s="198"/>
      <c r="D571" s="199"/>
      <c r="E571" s="199"/>
      <c r="F571" s="199"/>
      <c r="G571" s="199"/>
    </row>
    <row r="574" spans="1:7">
      <c r="A574"/>
      <c r="E574" s="22"/>
      <c r="F574" s="22"/>
      <c r="G574" s="22"/>
    </row>
    <row r="575" spans="1:7">
      <c r="A575"/>
      <c r="E575" s="90"/>
      <c r="F575" s="90"/>
      <c r="G575" s="90"/>
    </row>
    <row r="576" spans="1:7">
      <c r="A576"/>
      <c r="E576" s="90"/>
      <c r="F576" s="90"/>
      <c r="G576" s="90"/>
    </row>
    <row r="577" spans="1:7">
      <c r="A577"/>
      <c r="E577" s="91"/>
      <c r="F577" s="91"/>
      <c r="G577" s="91"/>
    </row>
  </sheetData>
  <customSheetViews>
    <customSheetView guid="{DE360DA9-5353-4F03-95DA-9238CFBE39D8}" showPageBreaks="1" fitToPage="1" printArea="1">
      <pane ySplit="19" topLeftCell="A345" activePane="bottomLeft" state="frozen"/>
      <selection pane="bottomLeft" activeCell="G385" sqref="G385"/>
      <pageMargins left="0.23622047244094491" right="0.23622047244094491" top="0.74803149606299213" bottom="0.74803149606299213" header="0.31496062992125984" footer="0.31496062992125984"/>
      <printOptions horizontalCentered="1"/>
      <pageSetup paperSize="9" scale="84" fitToHeight="0" orientation="landscape" r:id="rId1"/>
      <headerFooter>
        <oddFooter>&amp;CHAMAG-BICRO&amp;R&amp;P</oddFooter>
      </headerFooter>
    </customSheetView>
    <customSheetView guid="{4FFB33FE-6696-4144-BF99-378C5196B940}" scale="70" showPageBreaks="1" fitToPage="1" printArea="1">
      <pane ySplit="19" topLeftCell="A510" activePane="bottomLeft" state="frozen"/>
      <selection pane="bottomLeft" activeCell="I513" sqref="I513"/>
      <pageMargins left="0.23622047244094491" right="0.23622047244094491" top="0.74803149606299213" bottom="0.74803149606299213" header="0.31496062992125984" footer="0.31496062992125984"/>
      <printOptions horizontalCentered="1"/>
      <pageSetup paperSize="9" scale="84" fitToHeight="0" orientation="landscape" r:id="rId2"/>
      <headerFooter>
        <oddFooter>&amp;CHAMAG-BICRO&amp;R&amp;P</oddFooter>
      </headerFooter>
    </customSheetView>
    <customSheetView guid="{3D59341C-00F4-4635-AC4F-8988CF6BE637}" fitToPage="1">
      <pane ySplit="19" topLeftCell="A264" activePane="bottomLeft" state="frozen"/>
      <selection pane="bottomLeft" activeCell="L275" sqref="L275"/>
      <pageMargins left="0.23622047244094491" right="0.23622047244094491" top="0.74803149606299213" bottom="0.74803149606299213" header="0.31496062992125984" footer="0.31496062992125984"/>
      <printOptions horizontalCentered="1"/>
      <pageSetup paperSize="9" scale="84" fitToHeight="0" orientation="landscape" r:id="rId3"/>
      <headerFooter>
        <oddFooter>&amp;CHAMAG-BICRO&amp;R&amp;P</oddFooter>
      </headerFooter>
    </customSheetView>
    <customSheetView guid="{5251AB89-31D9-4C6C-945A-13C9748C2E26}" fitToPage="1">
      <pane ySplit="19" topLeftCell="A272" activePane="bottomLeft" state="frozen"/>
      <selection pane="bottomLeft" activeCell="J205" sqref="J205"/>
      <pageMargins left="0.23622047244094491" right="0.23622047244094491" top="0.74803149606299213" bottom="0.74803149606299213" header="0.31496062992125984" footer="0.31496062992125984"/>
      <printOptions horizontalCentered="1"/>
      <pageSetup paperSize="9" scale="84" fitToHeight="0" orientation="landscape" r:id="rId4"/>
      <headerFooter>
        <oddFooter>&amp;CHAMAG-BICRO&amp;R&amp;P</oddFooter>
      </headerFooter>
    </customSheetView>
    <customSheetView guid="{14A1FC8C-94B5-4B4E-9269-30661976D1D1}" scale="85" fitToPage="1">
      <pane ySplit="19" topLeftCell="A484" activePane="bottomLeft" state="frozen"/>
      <selection pane="bottomLeft" activeCell="M496" sqref="M496"/>
      <pageMargins left="0.23622047244094491" right="0.23622047244094491" top="0.74803149606299213" bottom="0.74803149606299213" header="0.31496062992125984" footer="0.31496062992125984"/>
      <printOptions horizontalCentered="1"/>
      <pageSetup paperSize="9" scale="84" fitToHeight="0" orientation="landscape" r:id="rId5"/>
      <headerFooter>
        <oddFooter>&amp;CHAMAG-BICRO&amp;R&amp;P</oddFooter>
      </headerFooter>
    </customSheetView>
    <customSheetView guid="{D0F51479-7B68-4FFC-8604-F0A17468B00E}" fitToPage="1">
      <pane ySplit="19" topLeftCell="A639" activePane="bottomLeft" state="frozen"/>
      <selection pane="bottomLeft" activeCell="B641" sqref="B641"/>
      <pageMargins left="0.23622047244094491" right="0.23622047244094491" top="0.74803149606299213" bottom="0.74803149606299213" header="0.31496062992125984" footer="0.31496062992125984"/>
      <printOptions horizontalCentered="1"/>
      <pageSetup paperSize="9" scale="84" fitToHeight="0" orientation="landscape" r:id="rId6"/>
      <headerFooter>
        <oddFooter>&amp;CHAMAG-BICRO&amp;R&amp;P</oddFooter>
      </headerFooter>
    </customSheetView>
    <customSheetView guid="{0D7CE69A-AF67-471F-AE1C-92FEF35D1955}" showPageBreaks="1" fitToPage="1" printArea="1">
      <pane ySplit="19" topLeftCell="A260" activePane="bottomLeft" state="frozen"/>
      <selection pane="bottomLeft" activeCell="G256" sqref="G256"/>
      <pageMargins left="0.23622047244094491" right="0.23622047244094491" top="0.74803149606299213" bottom="0.74803149606299213" header="0.31496062992125984" footer="0.31496062992125984"/>
      <printOptions horizontalCentered="1"/>
      <pageSetup paperSize="9" scale="84" fitToHeight="0" orientation="landscape" r:id="rId7"/>
      <headerFooter>
        <oddFooter>&amp;CHAMAG-BICRO&amp;R&amp;P</oddFooter>
      </headerFooter>
    </customSheetView>
    <customSheetView guid="{3EC3B099-A84F-48D2-A97E-B7686AB72BE7}" showPageBreaks="1" fitToPage="1" printArea="1">
      <pane ySplit="19" topLeftCell="A266" activePane="bottomLeft" state="frozen"/>
      <selection pane="bottomLeft" activeCell="H278" sqref="H278"/>
      <pageMargins left="0.23622047244094491" right="0.23622047244094491" top="0.74803149606299213" bottom="0.74803149606299213" header="0.31496062992125984" footer="0.31496062992125984"/>
      <printOptions horizontalCentered="1"/>
      <pageSetup paperSize="9" scale="84" fitToHeight="0" orientation="landscape" r:id="rId8"/>
      <headerFooter>
        <oddFooter>&amp;CHAMAG-BICRO&amp;R&amp;P</oddFooter>
      </headerFooter>
    </customSheetView>
  </customSheetViews>
  <mergeCells count="4">
    <mergeCell ref="A1:F1"/>
    <mergeCell ref="B3:C3"/>
    <mergeCell ref="A18:C18"/>
    <mergeCell ref="A4:C17"/>
  </mergeCells>
  <phoneticPr fontId="54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9"/>
  <headerFooter>
    <oddFooter>&amp;CHAMAG-BICRO&amp;R&amp;P</oddFooter>
  </headerFooter>
  <legacyDrawing r:id="rId1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8"/>
  <sheetViews>
    <sheetView workbookViewId="0">
      <selection activeCell="H7" sqref="H7"/>
    </sheetView>
  </sheetViews>
  <sheetFormatPr defaultRowHeight="15"/>
  <cols>
    <col min="2" max="2" width="34.85546875" customWidth="1"/>
    <col min="3" max="3" width="12.42578125" customWidth="1"/>
    <col min="4" max="4" width="8.42578125" customWidth="1"/>
    <col min="5" max="5" width="18.42578125" customWidth="1"/>
    <col min="6" max="6" width="18.28515625" customWidth="1"/>
    <col min="7" max="10" width="18.85546875" customWidth="1"/>
  </cols>
  <sheetData>
    <row r="1" spans="1:10" ht="15.75" thickBot="1">
      <c r="A1" s="1106" t="s">
        <v>557</v>
      </c>
      <c r="B1" s="1107"/>
      <c r="C1" s="1107"/>
      <c r="D1" s="1107"/>
      <c r="E1" s="1107"/>
      <c r="F1" s="1107"/>
      <c r="G1" s="1108"/>
      <c r="H1" s="824"/>
      <c r="I1" s="866"/>
      <c r="J1" s="845"/>
    </row>
    <row r="2" spans="1:10">
      <c r="A2" s="1081" t="s">
        <v>379</v>
      </c>
      <c r="B2" s="1079" t="s">
        <v>467</v>
      </c>
      <c r="C2" s="1083"/>
      <c r="D2" s="867"/>
      <c r="E2" s="601" t="s">
        <v>552</v>
      </c>
      <c r="F2" s="601" t="s">
        <v>553</v>
      </c>
      <c r="G2" s="602" t="s">
        <v>554</v>
      </c>
      <c r="H2" s="824"/>
      <c r="I2" s="866"/>
      <c r="J2" s="845"/>
    </row>
    <row r="3" spans="1:10" ht="30" customHeight="1" thickBot="1">
      <c r="A3" s="1109"/>
      <c r="B3" s="1110"/>
      <c r="C3" s="1084"/>
      <c r="D3" s="868"/>
      <c r="E3" s="603">
        <f>E5+E10+E12+E17+E26+E29+E31+E33+E36+E39+E44+E46+E48+E52+E54+E57+E64+E69</f>
        <v>751149396</v>
      </c>
      <c r="F3" s="603">
        <f>F5+F10+F12+F17+F26+F29+F31+F33+F36+F39+F44+F46+F48+F52+F54+F57+F64+F69</f>
        <v>568068650.99987495</v>
      </c>
      <c r="G3" s="604">
        <f>G5+G10+G12+G17+G26+G29+G31+G33+G36+G39+G44+G46+G48+G52+G54+G57+G64+G69</f>
        <v>392306206</v>
      </c>
      <c r="H3" s="825"/>
      <c r="I3" s="825"/>
      <c r="J3" s="825"/>
    </row>
    <row r="4" spans="1:10" ht="30" customHeight="1" thickBot="1">
      <c r="A4" s="1075" t="s">
        <v>377</v>
      </c>
      <c r="B4" s="1076"/>
      <c r="C4" s="826" t="s">
        <v>471</v>
      </c>
      <c r="D4" s="827" t="s">
        <v>472</v>
      </c>
      <c r="E4" s="587"/>
      <c r="F4" s="587"/>
      <c r="G4" s="588"/>
      <c r="H4" s="824"/>
      <c r="I4" s="866"/>
      <c r="J4" s="845"/>
    </row>
    <row r="5" spans="1:10" ht="15.75" thickBot="1">
      <c r="A5" s="573" t="s">
        <v>381</v>
      </c>
      <c r="B5" s="598" t="s">
        <v>187</v>
      </c>
      <c r="C5" s="607"/>
      <c r="D5" s="607"/>
      <c r="E5" s="599">
        <f>E6+E7+E8+E9</f>
        <v>16410000</v>
      </c>
      <c r="F5" s="599">
        <f>F6+F7+F8+F9</f>
        <v>14163000</v>
      </c>
      <c r="G5" s="600">
        <f>G6+G7+G8+G9</f>
        <v>14621150</v>
      </c>
      <c r="H5" s="824"/>
      <c r="I5" s="866"/>
      <c r="J5" s="845"/>
    </row>
    <row r="6" spans="1:10">
      <c r="A6" s="544"/>
      <c r="B6" s="553"/>
      <c r="C6" s="543">
        <v>11</v>
      </c>
      <c r="D6" s="543">
        <v>6711</v>
      </c>
      <c r="E6" s="582">
        <v>13178000</v>
      </c>
      <c r="F6" s="582">
        <v>13563000</v>
      </c>
      <c r="G6" s="583">
        <v>14021150</v>
      </c>
      <c r="H6" s="825"/>
      <c r="I6" s="825"/>
      <c r="J6" s="825"/>
    </row>
    <row r="7" spans="1:10">
      <c r="A7" s="544"/>
      <c r="B7" s="553"/>
      <c r="C7" s="873">
        <v>11</v>
      </c>
      <c r="D7" s="873">
        <v>6712</v>
      </c>
      <c r="E7" s="855">
        <v>610000</v>
      </c>
      <c r="F7" s="855">
        <v>600000</v>
      </c>
      <c r="G7" s="856">
        <v>600000</v>
      </c>
      <c r="H7" s="824"/>
      <c r="I7" s="866"/>
      <c r="J7" s="845"/>
    </row>
    <row r="8" spans="1:10">
      <c r="A8" s="544"/>
      <c r="B8" s="553"/>
      <c r="C8" s="874">
        <v>31</v>
      </c>
      <c r="D8" s="874">
        <v>6615</v>
      </c>
      <c r="E8" s="875">
        <v>32000</v>
      </c>
      <c r="F8" s="875"/>
      <c r="G8" s="876"/>
      <c r="H8" s="824"/>
      <c r="I8" s="866"/>
      <c r="J8" s="845"/>
    </row>
    <row r="9" spans="1:10" ht="15.75" thickBot="1">
      <c r="A9" s="544"/>
      <c r="B9" s="553"/>
      <c r="C9" s="579">
        <v>51</v>
      </c>
      <c r="D9" s="579">
        <v>6323</v>
      </c>
      <c r="E9" s="580">
        <f>'HAMAG-BICRO_rashodi (2) '!E45</f>
        <v>2590000</v>
      </c>
      <c r="F9" s="580">
        <f>'HAMAG-BICRO_rashodi (2) '!F45</f>
        <v>0</v>
      </c>
      <c r="G9" s="581">
        <f>'HAMAG-BICRO_rashodi (2) '!G45</f>
        <v>0</v>
      </c>
      <c r="H9" s="865"/>
      <c r="I9" s="866"/>
      <c r="J9" s="865"/>
    </row>
    <row r="10" spans="1:10" ht="15.75" thickBot="1">
      <c r="A10" s="573" t="s">
        <v>383</v>
      </c>
      <c r="B10" s="598" t="s">
        <v>346</v>
      </c>
      <c r="C10" s="609"/>
      <c r="D10" s="609"/>
      <c r="E10" s="584">
        <f>E11</f>
        <v>80000000</v>
      </c>
      <c r="F10" s="584">
        <f t="shared" ref="F10:G10" si="0">F11</f>
        <v>80000000</v>
      </c>
      <c r="G10" s="585">
        <f t="shared" si="0"/>
        <v>80000000</v>
      </c>
      <c r="H10" s="824"/>
      <c r="I10" s="866"/>
      <c r="J10" s="845"/>
    </row>
    <row r="11" spans="1:10" ht="15.75" thickBot="1">
      <c r="A11" s="544"/>
      <c r="B11" s="553"/>
      <c r="C11" s="579">
        <v>11</v>
      </c>
      <c r="D11" s="579">
        <v>6714</v>
      </c>
      <c r="E11" s="580">
        <v>80000000</v>
      </c>
      <c r="F11" s="580">
        <v>80000000</v>
      </c>
      <c r="G11" s="581">
        <v>80000000</v>
      </c>
      <c r="H11" s="824"/>
      <c r="I11" s="866"/>
      <c r="J11" s="845"/>
    </row>
    <row r="12" spans="1:10" ht="30.75" thickBot="1">
      <c r="A12" s="573" t="s">
        <v>384</v>
      </c>
      <c r="B12" s="574" t="s">
        <v>358</v>
      </c>
      <c r="C12" s="609"/>
      <c r="D12" s="609"/>
      <c r="E12" s="569">
        <f>E13+E14+E15+E16</f>
        <v>50954484</v>
      </c>
      <c r="F12" s="569">
        <f t="shared" ref="F12:G12" si="1">F13+F14+F15+F16</f>
        <v>47160142</v>
      </c>
      <c r="G12" s="570">
        <f t="shared" si="1"/>
        <v>46237507</v>
      </c>
      <c r="H12" s="824"/>
      <c r="I12" s="866"/>
      <c r="J12" s="845"/>
    </row>
    <row r="13" spans="1:10">
      <c r="A13" s="544"/>
      <c r="B13" s="552"/>
      <c r="C13" s="543">
        <v>12</v>
      </c>
      <c r="D13" s="575">
        <v>6711</v>
      </c>
      <c r="E13" s="576">
        <v>7600560</v>
      </c>
      <c r="F13" s="576">
        <v>7077933</v>
      </c>
      <c r="G13" s="577">
        <v>6939298</v>
      </c>
      <c r="H13" s="825"/>
      <c r="I13" s="825"/>
      <c r="J13" s="825"/>
    </row>
    <row r="14" spans="1:10">
      <c r="A14" s="544"/>
      <c r="B14" s="552"/>
      <c r="C14" s="873">
        <v>12</v>
      </c>
      <c r="D14" s="850">
        <v>6712</v>
      </c>
      <c r="E14" s="849">
        <v>87354</v>
      </c>
      <c r="F14" s="849">
        <v>40589</v>
      </c>
      <c r="G14" s="851">
        <v>40589</v>
      </c>
      <c r="H14" s="824"/>
      <c r="I14" s="866"/>
      <c r="J14" s="845"/>
    </row>
    <row r="15" spans="1:10">
      <c r="A15" s="544"/>
      <c r="B15" s="553"/>
      <c r="C15" s="873">
        <v>563</v>
      </c>
      <c r="D15" s="850">
        <v>6323</v>
      </c>
      <c r="E15" s="849">
        <v>42771570</v>
      </c>
      <c r="F15" s="849">
        <v>39811620</v>
      </c>
      <c r="G15" s="851">
        <v>39027620</v>
      </c>
      <c r="H15" s="824"/>
      <c r="I15" s="866"/>
      <c r="J15" s="845"/>
    </row>
    <row r="16" spans="1:10" ht="15.75" thickBot="1">
      <c r="A16" s="544"/>
      <c r="B16" s="553"/>
      <c r="C16" s="874">
        <v>563</v>
      </c>
      <c r="D16" s="877">
        <v>6324</v>
      </c>
      <c r="E16" s="878">
        <v>495000</v>
      </c>
      <c r="F16" s="878">
        <v>230000</v>
      </c>
      <c r="G16" s="879">
        <v>230000</v>
      </c>
      <c r="H16" s="824"/>
      <c r="I16" s="866"/>
      <c r="J16" s="845"/>
    </row>
    <row r="17" spans="1:10" ht="45.75" thickBot="1">
      <c r="A17" s="573" t="s">
        <v>459</v>
      </c>
      <c r="B17" s="574" t="s">
        <v>473</v>
      </c>
      <c r="C17" s="828"/>
      <c r="D17" s="828"/>
      <c r="E17" s="829">
        <f>SUM(E18:E25)</f>
        <v>371594000</v>
      </c>
      <c r="F17" s="829">
        <f t="shared" ref="F17:G17" si="2">SUM(F18:F25)</f>
        <v>305260000</v>
      </c>
      <c r="G17" s="830">
        <f t="shared" si="2"/>
        <v>197014360</v>
      </c>
      <c r="H17" s="825"/>
      <c r="I17" s="825"/>
      <c r="J17" s="825"/>
    </row>
    <row r="18" spans="1:10">
      <c r="A18" s="544"/>
      <c r="B18" s="552"/>
      <c r="C18" s="873">
        <v>12</v>
      </c>
      <c r="D18" s="848">
        <v>6714</v>
      </c>
      <c r="E18" s="849">
        <v>106020000</v>
      </c>
      <c r="F18" s="849">
        <v>109260000</v>
      </c>
      <c r="G18" s="851"/>
      <c r="H18" s="825"/>
      <c r="I18" s="825"/>
      <c r="J18" s="825"/>
    </row>
    <row r="19" spans="1:10" ht="16.5" customHeight="1">
      <c r="A19" s="544"/>
      <c r="B19" s="552"/>
      <c r="C19" s="873">
        <v>43</v>
      </c>
      <c r="D19" s="848">
        <v>8163</v>
      </c>
      <c r="E19" s="849">
        <v>40000000</v>
      </c>
      <c r="F19" s="849">
        <v>45500000</v>
      </c>
      <c r="G19" s="851">
        <v>53500000</v>
      </c>
      <c r="H19" s="824"/>
      <c r="I19" s="866"/>
      <c r="J19" s="845"/>
    </row>
    <row r="20" spans="1:10">
      <c r="A20" s="544"/>
      <c r="B20" s="552"/>
      <c r="C20" s="873">
        <v>43</v>
      </c>
      <c r="D20" s="848">
        <v>6436</v>
      </c>
      <c r="E20" s="849">
        <v>2500000</v>
      </c>
      <c r="F20" s="849">
        <v>2000000</v>
      </c>
      <c r="G20" s="851">
        <v>1500000</v>
      </c>
      <c r="H20" s="824"/>
      <c r="I20" s="866"/>
      <c r="J20" s="845"/>
    </row>
    <row r="21" spans="1:10">
      <c r="A21" s="544"/>
      <c r="B21" s="552"/>
      <c r="C21" s="873">
        <v>43</v>
      </c>
      <c r="D21" s="848">
        <v>8164</v>
      </c>
      <c r="E21" s="849">
        <v>13000000</v>
      </c>
      <c r="F21" s="849">
        <v>13100000</v>
      </c>
      <c r="G21" s="851">
        <v>14500000</v>
      </c>
      <c r="H21" s="824"/>
      <c r="I21" s="866"/>
      <c r="J21" s="845"/>
    </row>
    <row r="22" spans="1:10">
      <c r="A22" s="544"/>
      <c r="B22" s="552"/>
      <c r="C22" s="873">
        <v>43</v>
      </c>
      <c r="D22" s="848">
        <v>6436</v>
      </c>
      <c r="E22" s="849">
        <v>500000</v>
      </c>
      <c r="F22" s="849">
        <v>400000</v>
      </c>
      <c r="G22" s="851">
        <v>500000</v>
      </c>
      <c r="H22" s="824"/>
      <c r="I22" s="866"/>
      <c r="J22" s="845"/>
    </row>
    <row r="23" spans="1:10">
      <c r="A23" s="544"/>
      <c r="B23" s="552"/>
      <c r="C23" s="873">
        <v>43</v>
      </c>
      <c r="D23" s="848">
        <v>8181</v>
      </c>
      <c r="E23" s="849">
        <v>3000000</v>
      </c>
      <c r="F23" s="849">
        <v>20000000</v>
      </c>
      <c r="G23" s="851">
        <v>27000000</v>
      </c>
      <c r="H23" s="824"/>
      <c r="I23" s="866"/>
      <c r="J23" s="845"/>
    </row>
    <row r="24" spans="1:10">
      <c r="A24" s="544"/>
      <c r="B24" s="552"/>
      <c r="C24" s="1039">
        <v>563</v>
      </c>
      <c r="D24" s="869">
        <v>6323</v>
      </c>
      <c r="E24" s="870">
        <v>25000000</v>
      </c>
      <c r="F24" s="870">
        <v>25000000</v>
      </c>
      <c r="G24" s="871">
        <v>14360</v>
      </c>
      <c r="H24" s="845"/>
      <c r="I24" s="866"/>
      <c r="J24" s="845"/>
    </row>
    <row r="25" spans="1:10" ht="15.75" thickBot="1">
      <c r="A25" s="544"/>
      <c r="B25" s="553"/>
      <c r="C25" s="873">
        <v>563</v>
      </c>
      <c r="D25" s="848">
        <v>6324</v>
      </c>
      <c r="E25" s="854">
        <v>181574000</v>
      </c>
      <c r="F25" s="854">
        <v>90000000</v>
      </c>
      <c r="G25" s="872">
        <v>100000000</v>
      </c>
      <c r="H25" s="824"/>
      <c r="I25" s="866"/>
      <c r="J25" s="845"/>
    </row>
    <row r="26" spans="1:10" ht="45.75" thickBot="1">
      <c r="A26" s="573" t="s">
        <v>385</v>
      </c>
      <c r="B26" s="574" t="s">
        <v>369</v>
      </c>
      <c r="C26" s="831"/>
      <c r="D26" s="831"/>
      <c r="E26" s="832">
        <f>E27+E28</f>
        <v>13958005</v>
      </c>
      <c r="F26" s="832">
        <f t="shared" ref="F26:G26" si="3">F27+F28</f>
        <v>14077705</v>
      </c>
      <c r="G26" s="833">
        <f t="shared" si="3"/>
        <v>14115505</v>
      </c>
      <c r="H26" s="824"/>
      <c r="I26" s="866"/>
      <c r="J26" s="845"/>
    </row>
    <row r="27" spans="1:10">
      <c r="A27" s="544"/>
      <c r="B27" s="552"/>
      <c r="C27" s="543">
        <v>563</v>
      </c>
      <c r="D27" s="575">
        <v>6323</v>
      </c>
      <c r="E27" s="576">
        <v>12538005</v>
      </c>
      <c r="F27" s="576">
        <v>13757705</v>
      </c>
      <c r="G27" s="577">
        <v>13795505</v>
      </c>
      <c r="H27" s="824"/>
      <c r="I27" s="866"/>
      <c r="J27" s="845"/>
    </row>
    <row r="28" spans="1:10" ht="15.75" thickBot="1">
      <c r="A28" s="544"/>
      <c r="B28" s="552"/>
      <c r="C28" s="874">
        <v>563</v>
      </c>
      <c r="D28" s="877">
        <v>6324</v>
      </c>
      <c r="E28" s="878">
        <v>1420000</v>
      </c>
      <c r="F28" s="878">
        <v>320000</v>
      </c>
      <c r="G28" s="879">
        <v>320000</v>
      </c>
      <c r="H28" s="824"/>
      <c r="I28" s="866"/>
      <c r="J28" s="845"/>
    </row>
    <row r="29" spans="1:10" ht="15.75" thickBot="1">
      <c r="A29" s="573" t="s">
        <v>386</v>
      </c>
      <c r="B29" s="598" t="s">
        <v>349</v>
      </c>
      <c r="C29" s="609"/>
      <c r="D29" s="609"/>
      <c r="E29" s="569">
        <f>E30</f>
        <v>6540165</v>
      </c>
      <c r="F29" s="569">
        <f t="shared" ref="F29:G29" si="4">F30</f>
        <v>6163711</v>
      </c>
      <c r="G29" s="570">
        <f t="shared" si="4"/>
        <v>4625195</v>
      </c>
      <c r="H29" s="824"/>
      <c r="I29" s="866"/>
      <c r="J29" s="845"/>
    </row>
    <row r="30" spans="1:10" ht="15.75" thickBot="1">
      <c r="A30" s="544"/>
      <c r="B30" s="553"/>
      <c r="C30" s="834">
        <v>11</v>
      </c>
      <c r="D30" s="558">
        <v>6711</v>
      </c>
      <c r="E30" s="566">
        <v>6540165</v>
      </c>
      <c r="F30" s="566">
        <v>6163711</v>
      </c>
      <c r="G30" s="567">
        <v>4625195</v>
      </c>
      <c r="H30" s="824"/>
      <c r="I30" s="866"/>
      <c r="J30" s="845"/>
    </row>
    <row r="31" spans="1:10" ht="15.75" thickBot="1">
      <c r="A31" s="573" t="s">
        <v>387</v>
      </c>
      <c r="B31" s="598" t="s">
        <v>536</v>
      </c>
      <c r="C31" s="609"/>
      <c r="D31" s="591"/>
      <c r="E31" s="569">
        <f>E32</f>
        <v>4550000</v>
      </c>
      <c r="F31" s="569">
        <f t="shared" ref="F31:G31" si="5">F32</f>
        <v>6320000</v>
      </c>
      <c r="G31" s="570">
        <f t="shared" si="5"/>
        <v>7320000</v>
      </c>
      <c r="H31" s="824"/>
      <c r="I31" s="866"/>
      <c r="J31" s="845"/>
    </row>
    <row r="32" spans="1:10" ht="15.75" thickBot="1">
      <c r="A32" s="544"/>
      <c r="B32" s="553"/>
      <c r="C32" s="874">
        <v>11</v>
      </c>
      <c r="D32" s="880">
        <v>6711</v>
      </c>
      <c r="E32" s="881">
        <v>4550000</v>
      </c>
      <c r="F32" s="881">
        <v>6320000</v>
      </c>
      <c r="G32" s="882">
        <v>7320000</v>
      </c>
      <c r="H32" s="824"/>
      <c r="I32" s="866"/>
      <c r="J32" s="845"/>
    </row>
    <row r="33" spans="1:10" ht="15.75" thickBot="1">
      <c r="A33" s="573" t="s">
        <v>389</v>
      </c>
      <c r="B33" s="598" t="s">
        <v>355</v>
      </c>
      <c r="C33" s="1040"/>
      <c r="D33" s="846"/>
      <c r="E33" s="829">
        <f>E34+E35</f>
        <v>600000</v>
      </c>
      <c r="F33" s="829">
        <f t="shared" ref="F33:G33" si="6">F34+F35</f>
        <v>600000</v>
      </c>
      <c r="G33" s="830">
        <f t="shared" si="6"/>
        <v>600000</v>
      </c>
      <c r="H33" s="824"/>
      <c r="I33" s="866"/>
      <c r="J33" s="845"/>
    </row>
    <row r="34" spans="1:10">
      <c r="A34" s="544"/>
      <c r="B34" s="553"/>
      <c r="C34" s="873">
        <v>51</v>
      </c>
      <c r="D34" s="848">
        <v>6323</v>
      </c>
      <c r="E34" s="849">
        <v>600000</v>
      </c>
      <c r="F34" s="849">
        <v>600000</v>
      </c>
      <c r="G34" s="851">
        <v>600000</v>
      </c>
      <c r="H34" s="824"/>
      <c r="I34" s="866"/>
      <c r="J34" s="845"/>
    </row>
    <row r="35" spans="1:10" ht="15.75" thickBot="1">
      <c r="A35" s="544"/>
      <c r="B35" s="553"/>
      <c r="C35" s="873">
        <v>51</v>
      </c>
      <c r="D35" s="848">
        <v>6324</v>
      </c>
      <c r="E35" s="849"/>
      <c r="F35" s="849"/>
      <c r="G35" s="851"/>
      <c r="H35" s="824"/>
      <c r="I35" s="866"/>
      <c r="J35" s="845"/>
    </row>
    <row r="36" spans="1:10" ht="30.75" thickBot="1">
      <c r="A36" s="573" t="s">
        <v>390</v>
      </c>
      <c r="B36" s="574" t="s">
        <v>367</v>
      </c>
      <c r="C36" s="831"/>
      <c r="D36" s="847"/>
      <c r="E36" s="832">
        <f>E37+E38</f>
        <v>3183000</v>
      </c>
      <c r="F36" s="832">
        <f t="shared" ref="F36:G36" si="7">F37+F38</f>
        <v>4960080</v>
      </c>
      <c r="G36" s="833">
        <f t="shared" si="7"/>
        <v>4962410</v>
      </c>
      <c r="H36" s="824"/>
      <c r="I36" s="866"/>
      <c r="J36" s="845"/>
    </row>
    <row r="37" spans="1:10">
      <c r="A37" s="544"/>
      <c r="B37" s="552"/>
      <c r="C37" s="543">
        <v>563</v>
      </c>
      <c r="D37" s="590">
        <v>6323</v>
      </c>
      <c r="E37" s="576">
        <v>2783000</v>
      </c>
      <c r="F37" s="576">
        <v>4960080</v>
      </c>
      <c r="G37" s="577">
        <v>4962410</v>
      </c>
      <c r="H37" s="824"/>
      <c r="I37" s="866"/>
      <c r="J37" s="845"/>
    </row>
    <row r="38" spans="1:10" ht="15.75" thickBot="1">
      <c r="A38" s="544"/>
      <c r="B38" s="552"/>
      <c r="C38" s="874">
        <v>563</v>
      </c>
      <c r="D38" s="880">
        <v>6324</v>
      </c>
      <c r="E38" s="881">
        <v>400000</v>
      </c>
      <c r="F38" s="881">
        <v>0</v>
      </c>
      <c r="G38" s="882">
        <v>0</v>
      </c>
      <c r="H38" s="824"/>
      <c r="I38" s="866"/>
      <c r="J38" s="845"/>
    </row>
    <row r="39" spans="1:10" ht="15.75" thickBot="1">
      <c r="A39" s="573" t="s">
        <v>391</v>
      </c>
      <c r="B39" s="598" t="s">
        <v>356</v>
      </c>
      <c r="C39" s="609"/>
      <c r="D39" s="591"/>
      <c r="E39" s="569">
        <f>E40+E41+E42+E43</f>
        <v>2450382</v>
      </c>
      <c r="F39" s="569">
        <f t="shared" ref="F39:G39" si="8">F40+F41+F42+F43</f>
        <v>1641509</v>
      </c>
      <c r="G39" s="570">
        <f t="shared" si="8"/>
        <v>1354943</v>
      </c>
      <c r="H39" s="824"/>
      <c r="I39" s="866"/>
      <c r="J39" s="845"/>
    </row>
    <row r="40" spans="1:10">
      <c r="A40" s="544"/>
      <c r="B40" s="553"/>
      <c r="C40" s="543">
        <v>12</v>
      </c>
      <c r="D40" s="590">
        <v>6711</v>
      </c>
      <c r="E40" s="576">
        <v>342960</v>
      </c>
      <c r="F40" s="576">
        <v>247996</v>
      </c>
      <c r="G40" s="577">
        <v>208257</v>
      </c>
      <c r="H40" s="824"/>
      <c r="I40" s="866"/>
      <c r="J40" s="845"/>
    </row>
    <row r="41" spans="1:10">
      <c r="A41" s="544"/>
      <c r="B41" s="553"/>
      <c r="C41" s="873">
        <v>12</v>
      </c>
      <c r="D41" s="848">
        <v>6712</v>
      </c>
      <c r="E41" s="849">
        <v>1500</v>
      </c>
      <c r="F41" s="849">
        <v>0</v>
      </c>
      <c r="G41" s="851">
        <v>0</v>
      </c>
      <c r="H41" s="824"/>
      <c r="I41" s="866"/>
      <c r="J41" s="845"/>
    </row>
    <row r="42" spans="1:10">
      <c r="A42" s="544"/>
      <c r="B42" s="553"/>
      <c r="C42" s="873">
        <v>559</v>
      </c>
      <c r="D42" s="848">
        <v>6323</v>
      </c>
      <c r="E42" s="849">
        <v>2092422</v>
      </c>
      <c r="F42" s="849">
        <v>1393513</v>
      </c>
      <c r="G42" s="851">
        <v>1146686</v>
      </c>
      <c r="H42" s="824"/>
      <c r="I42" s="866"/>
      <c r="J42" s="845"/>
    </row>
    <row r="43" spans="1:10" ht="15.75" thickBot="1">
      <c r="A43" s="544"/>
      <c r="B43" s="553"/>
      <c r="C43" s="874">
        <v>559</v>
      </c>
      <c r="D43" s="880">
        <v>6323</v>
      </c>
      <c r="E43" s="881">
        <v>13500</v>
      </c>
      <c r="F43" s="881">
        <v>0</v>
      </c>
      <c r="G43" s="882">
        <v>0</v>
      </c>
      <c r="H43" s="824"/>
      <c r="I43" s="866"/>
      <c r="J43" s="845"/>
    </row>
    <row r="44" spans="1:10" ht="15.75" thickBot="1">
      <c r="A44" s="573" t="s">
        <v>392</v>
      </c>
      <c r="B44" s="598" t="s">
        <v>351</v>
      </c>
      <c r="C44" s="607"/>
      <c r="D44" s="593"/>
      <c r="E44" s="569">
        <f>E45</f>
        <v>2448336</v>
      </c>
      <c r="F44" s="569">
        <f t="shared" ref="F44:G44" si="9">F45</f>
        <v>2376336</v>
      </c>
      <c r="G44" s="570">
        <f t="shared" si="9"/>
        <v>2276336</v>
      </c>
      <c r="H44" s="824"/>
      <c r="I44" s="866"/>
      <c r="J44" s="845"/>
    </row>
    <row r="45" spans="1:10" ht="15.75" thickBot="1">
      <c r="A45" s="544"/>
      <c r="B45" s="553"/>
      <c r="C45" s="1041">
        <v>11</v>
      </c>
      <c r="D45" s="595">
        <v>6711</v>
      </c>
      <c r="E45" s="596">
        <v>2448336</v>
      </c>
      <c r="F45" s="596">
        <v>2376336</v>
      </c>
      <c r="G45" s="597">
        <v>2276336</v>
      </c>
      <c r="H45" s="824"/>
      <c r="I45" s="866"/>
      <c r="J45" s="845"/>
    </row>
    <row r="46" spans="1:10" ht="30.75" thickBot="1">
      <c r="A46" s="1045" t="s">
        <v>501</v>
      </c>
      <c r="B46" s="574" t="s">
        <v>500</v>
      </c>
      <c r="C46" s="1042"/>
      <c r="D46" s="837"/>
      <c r="E46" s="832">
        <f>E47</f>
        <v>42763600</v>
      </c>
      <c r="F46" s="832">
        <f t="shared" ref="F46:G46" si="10">F47</f>
        <v>21885400</v>
      </c>
      <c r="G46" s="833">
        <f t="shared" si="10"/>
        <v>0</v>
      </c>
      <c r="H46" s="824"/>
      <c r="I46" s="866"/>
      <c r="J46" s="845"/>
    </row>
    <row r="47" spans="1:10" ht="15.75" thickBot="1">
      <c r="A47" s="544"/>
      <c r="B47" s="553"/>
      <c r="C47" s="579">
        <v>559</v>
      </c>
      <c r="D47" s="835">
        <v>6323</v>
      </c>
      <c r="E47" s="611">
        <v>42763600</v>
      </c>
      <c r="F47" s="611">
        <v>21885400</v>
      </c>
      <c r="G47" s="836">
        <v>0</v>
      </c>
      <c r="H47" s="824"/>
      <c r="I47" s="866"/>
      <c r="J47" s="845"/>
    </row>
    <row r="48" spans="1:10" ht="15.75" thickBot="1">
      <c r="A48" s="573" t="s">
        <v>513</v>
      </c>
      <c r="B48" s="598" t="s">
        <v>506</v>
      </c>
      <c r="C48" s="607"/>
      <c r="D48" s="593"/>
      <c r="E48" s="569">
        <f>E49+E50+E51</f>
        <v>4100000</v>
      </c>
      <c r="F48" s="569">
        <f t="shared" ref="F48:G48" si="11">F49+F50+F51</f>
        <v>4225000</v>
      </c>
      <c r="G48" s="570">
        <f t="shared" si="11"/>
        <v>4362500</v>
      </c>
      <c r="H48" s="824"/>
      <c r="I48" s="866"/>
      <c r="J48" s="845"/>
    </row>
    <row r="49" spans="1:10">
      <c r="A49" s="544"/>
      <c r="B49" s="553"/>
      <c r="C49" s="543">
        <v>12</v>
      </c>
      <c r="D49" s="590">
        <v>6711</v>
      </c>
      <c r="E49" s="576">
        <v>465000</v>
      </c>
      <c r="F49" s="576">
        <v>1740000</v>
      </c>
      <c r="G49" s="577">
        <v>2377500</v>
      </c>
      <c r="H49" s="824"/>
      <c r="I49" s="866"/>
      <c r="J49" s="845"/>
    </row>
    <row r="50" spans="1:10">
      <c r="A50" s="544"/>
      <c r="B50" s="553"/>
      <c r="C50" s="873">
        <v>552</v>
      </c>
      <c r="D50" s="848">
        <v>6323</v>
      </c>
      <c r="E50" s="849">
        <v>2635000</v>
      </c>
      <c r="F50" s="849">
        <v>1360000</v>
      </c>
      <c r="G50" s="851">
        <v>735000</v>
      </c>
      <c r="H50" s="824"/>
      <c r="I50" s="866"/>
      <c r="J50" s="845"/>
    </row>
    <row r="51" spans="1:10" ht="15.75" thickBot="1">
      <c r="A51" s="544"/>
      <c r="B51" s="553"/>
      <c r="C51" s="874">
        <v>559</v>
      </c>
      <c r="D51" s="880">
        <v>6323</v>
      </c>
      <c r="E51" s="881">
        <v>1000000</v>
      </c>
      <c r="F51" s="881">
        <v>1125000</v>
      </c>
      <c r="G51" s="882">
        <v>1250000</v>
      </c>
      <c r="H51" s="824"/>
      <c r="I51" s="866"/>
      <c r="J51" s="845"/>
    </row>
    <row r="52" spans="1:10" ht="15.75" thickBot="1">
      <c r="A52" s="573" t="s">
        <v>512</v>
      </c>
      <c r="B52" s="598" t="s">
        <v>537</v>
      </c>
      <c r="C52" s="607"/>
      <c r="D52" s="593"/>
      <c r="E52" s="569">
        <f>E53</f>
        <v>4500000</v>
      </c>
      <c r="F52" s="569">
        <f t="shared" ref="F52:G52" si="12">F53</f>
        <v>700000</v>
      </c>
      <c r="G52" s="570">
        <f t="shared" si="12"/>
        <v>0</v>
      </c>
      <c r="H52" s="824"/>
      <c r="I52" s="866"/>
      <c r="J52" s="845"/>
    </row>
    <row r="53" spans="1:10" ht="15.75" thickBot="1">
      <c r="A53" s="544"/>
      <c r="B53" s="553"/>
      <c r="C53" s="543">
        <v>12</v>
      </c>
      <c r="D53" s="590">
        <v>6714</v>
      </c>
      <c r="E53" s="576">
        <v>4500000</v>
      </c>
      <c r="F53" s="576">
        <v>700000</v>
      </c>
      <c r="G53" s="577">
        <v>0</v>
      </c>
      <c r="H53" s="824"/>
      <c r="I53" s="866"/>
      <c r="J53" s="845"/>
    </row>
    <row r="54" spans="1:10" ht="15.75" thickBot="1">
      <c r="A54" s="573" t="s">
        <v>511</v>
      </c>
      <c r="B54" s="598" t="s">
        <v>502</v>
      </c>
      <c r="C54" s="607"/>
      <c r="D54" s="593"/>
      <c r="E54" s="569">
        <f>E55+E56</f>
        <v>1486100</v>
      </c>
      <c r="F54" s="569">
        <f t="shared" ref="F54:G54" si="13">F55+F56</f>
        <v>1469100</v>
      </c>
      <c r="G54" s="570">
        <f t="shared" si="13"/>
        <v>1427200</v>
      </c>
      <c r="H54" s="824"/>
      <c r="I54" s="866"/>
      <c r="J54" s="845"/>
    </row>
    <row r="55" spans="1:10">
      <c r="A55" s="544"/>
      <c r="B55" s="553"/>
      <c r="C55" s="873">
        <v>11</v>
      </c>
      <c r="D55" s="848">
        <v>6711</v>
      </c>
      <c r="E55" s="849">
        <v>1461100</v>
      </c>
      <c r="F55" s="849">
        <v>1469100</v>
      </c>
      <c r="G55" s="851">
        <v>1427200</v>
      </c>
      <c r="H55" s="824"/>
      <c r="I55" s="866"/>
      <c r="J55" s="845"/>
    </row>
    <row r="56" spans="1:10" ht="15.75" thickBot="1">
      <c r="A56" s="544"/>
      <c r="B56" s="553"/>
      <c r="C56" s="1043">
        <v>11</v>
      </c>
      <c r="D56" s="857">
        <v>6712</v>
      </c>
      <c r="E56" s="858">
        <v>25000</v>
      </c>
      <c r="F56" s="858">
        <v>0</v>
      </c>
      <c r="G56" s="859">
        <v>0</v>
      </c>
      <c r="H56" s="824"/>
      <c r="I56" s="866"/>
      <c r="J56" s="845"/>
    </row>
    <row r="57" spans="1:10" ht="15.75" thickBot="1">
      <c r="A57" s="573" t="s">
        <v>517</v>
      </c>
      <c r="B57" s="598" t="s">
        <v>518</v>
      </c>
      <c r="C57" s="828"/>
      <c r="D57" s="838"/>
      <c r="E57" s="829">
        <f>E58+E62+E59+E60+E61+E63</f>
        <v>140058824</v>
      </c>
      <c r="F57" s="829">
        <f t="shared" ref="F57:G57" si="14">F58+F62+F59+F60+F61+F63</f>
        <v>50694707.999875002</v>
      </c>
      <c r="G57" s="830">
        <f t="shared" si="14"/>
        <v>6000000</v>
      </c>
      <c r="H57" s="824"/>
      <c r="I57" s="866"/>
      <c r="J57" s="845"/>
    </row>
    <row r="58" spans="1:10">
      <c r="A58" s="544"/>
      <c r="B58" s="553"/>
      <c r="C58" s="873">
        <v>12</v>
      </c>
      <c r="D58" s="848">
        <v>6714</v>
      </c>
      <c r="E58" s="849">
        <v>20558824</v>
      </c>
      <c r="F58" s="849">
        <v>6704208</v>
      </c>
      <c r="G58" s="851">
        <v>0</v>
      </c>
      <c r="H58" s="824"/>
      <c r="I58" s="866"/>
      <c r="J58" s="845"/>
    </row>
    <row r="59" spans="1:10">
      <c r="A59" s="544"/>
      <c r="B59" s="553"/>
      <c r="C59" s="873">
        <v>565</v>
      </c>
      <c r="D59" s="848">
        <v>6324</v>
      </c>
      <c r="E59" s="849">
        <v>116500000</v>
      </c>
      <c r="F59" s="849">
        <v>37990499.999875002</v>
      </c>
      <c r="G59" s="851">
        <v>0</v>
      </c>
      <c r="H59" s="844"/>
      <c r="I59" s="866"/>
      <c r="J59" s="845"/>
    </row>
    <row r="60" spans="1:10">
      <c r="A60" s="544"/>
      <c r="B60" s="553"/>
      <c r="C60" s="873">
        <v>43</v>
      </c>
      <c r="D60" s="848">
        <v>8163</v>
      </c>
      <c r="E60" s="849">
        <v>300000</v>
      </c>
      <c r="F60" s="849">
        <v>600000</v>
      </c>
      <c r="G60" s="851">
        <v>600000</v>
      </c>
      <c r="H60" s="845"/>
      <c r="I60" s="866"/>
      <c r="J60" s="845"/>
    </row>
    <row r="61" spans="1:10">
      <c r="A61" s="544"/>
      <c r="B61" s="553"/>
      <c r="C61" s="873">
        <v>43</v>
      </c>
      <c r="D61" s="848">
        <v>6436</v>
      </c>
      <c r="E61" s="849">
        <v>10000</v>
      </c>
      <c r="F61" s="849">
        <v>10000</v>
      </c>
      <c r="G61" s="851">
        <v>5000</v>
      </c>
      <c r="H61" s="845"/>
      <c r="I61" s="866"/>
      <c r="J61" s="845"/>
    </row>
    <row r="62" spans="1:10">
      <c r="A62" s="544"/>
      <c r="B62" s="553"/>
      <c r="C62" s="873">
        <v>43</v>
      </c>
      <c r="D62" s="848">
        <v>8164</v>
      </c>
      <c r="E62" s="854">
        <v>2400000</v>
      </c>
      <c r="F62" s="854">
        <v>5140000</v>
      </c>
      <c r="G62" s="860">
        <v>5250000</v>
      </c>
      <c r="H62" s="824"/>
      <c r="I62" s="866"/>
      <c r="J62" s="845"/>
    </row>
    <row r="63" spans="1:10" ht="15.75" thickBot="1">
      <c r="A63" s="544"/>
      <c r="B63" s="553"/>
      <c r="C63" s="579">
        <v>43</v>
      </c>
      <c r="D63" s="835">
        <v>6436</v>
      </c>
      <c r="E63" s="863">
        <v>290000</v>
      </c>
      <c r="F63" s="863">
        <v>250000</v>
      </c>
      <c r="G63" s="864">
        <v>145000</v>
      </c>
      <c r="H63" s="845"/>
      <c r="I63" s="866"/>
      <c r="J63" s="845"/>
    </row>
    <row r="64" spans="1:10" ht="30.75" thickBot="1">
      <c r="A64" s="1045" t="s">
        <v>535</v>
      </c>
      <c r="B64" s="574" t="s">
        <v>538</v>
      </c>
      <c r="C64" s="828"/>
      <c r="D64" s="838"/>
      <c r="E64" s="829">
        <f>SUM(E65:E68)</f>
        <v>4552500</v>
      </c>
      <c r="F64" s="829">
        <f t="shared" ref="F64:G64" si="15">SUM(F65:F68)</f>
        <v>4371960</v>
      </c>
      <c r="G64" s="830">
        <f t="shared" si="15"/>
        <v>4389100</v>
      </c>
      <c r="H64" s="824"/>
      <c r="I64" s="866"/>
      <c r="J64" s="845"/>
    </row>
    <row r="65" spans="1:10">
      <c r="A65" s="544"/>
      <c r="B65" s="553"/>
      <c r="C65" s="873">
        <v>12</v>
      </c>
      <c r="D65" s="848">
        <v>6711</v>
      </c>
      <c r="E65" s="849">
        <v>645775</v>
      </c>
      <c r="F65" s="849">
        <v>646335</v>
      </c>
      <c r="G65" s="851">
        <v>649475</v>
      </c>
      <c r="H65" s="264"/>
      <c r="I65" s="264"/>
      <c r="J65" s="264"/>
    </row>
    <row r="66" spans="1:10">
      <c r="A66" s="544"/>
      <c r="B66" s="553"/>
      <c r="C66" s="873">
        <v>12</v>
      </c>
      <c r="D66" s="848">
        <v>6712</v>
      </c>
      <c r="E66" s="849">
        <v>44250</v>
      </c>
      <c r="F66" s="849">
        <v>15000</v>
      </c>
      <c r="G66" s="851">
        <v>15000</v>
      </c>
      <c r="H66" s="264"/>
      <c r="I66" s="264"/>
      <c r="J66" s="264"/>
    </row>
    <row r="67" spans="1:10">
      <c r="A67" s="544"/>
      <c r="B67" s="553"/>
      <c r="C67" s="873">
        <v>565</v>
      </c>
      <c r="D67" s="848">
        <v>6323</v>
      </c>
      <c r="E67" s="849">
        <v>3611725</v>
      </c>
      <c r="F67" s="849">
        <v>3625625</v>
      </c>
      <c r="G67" s="851">
        <v>3639625</v>
      </c>
      <c r="H67" s="264"/>
      <c r="I67" s="264"/>
      <c r="J67" s="264"/>
    </row>
    <row r="68" spans="1:10" ht="15.75" thickBot="1">
      <c r="A68" s="544"/>
      <c r="B68" s="553"/>
      <c r="C68" s="874">
        <v>565</v>
      </c>
      <c r="D68" s="880">
        <v>6324</v>
      </c>
      <c r="E68" s="878">
        <v>250750</v>
      </c>
      <c r="F68" s="878">
        <v>85000</v>
      </c>
      <c r="G68" s="879">
        <v>85000</v>
      </c>
      <c r="H68" s="264"/>
      <c r="I68" s="264"/>
      <c r="J68" s="264"/>
    </row>
    <row r="69" spans="1:10" ht="30.75" thickBot="1">
      <c r="A69" s="1045" t="s">
        <v>548</v>
      </c>
      <c r="B69" s="574" t="s">
        <v>546</v>
      </c>
      <c r="C69" s="1044"/>
      <c r="D69" s="852"/>
      <c r="E69" s="853">
        <f>E70</f>
        <v>1000000</v>
      </c>
      <c r="F69" s="853">
        <f t="shared" ref="F69:G69" si="16">F70</f>
        <v>2000000</v>
      </c>
      <c r="G69" s="883">
        <f t="shared" si="16"/>
        <v>3000000</v>
      </c>
      <c r="H69" s="264"/>
      <c r="I69" s="264"/>
      <c r="J69" s="264"/>
    </row>
    <row r="70" spans="1:10" ht="15.75" thickBot="1">
      <c r="A70" s="546"/>
      <c r="B70" s="554"/>
      <c r="C70" s="1043">
        <v>11</v>
      </c>
      <c r="D70" s="857">
        <v>6711</v>
      </c>
      <c r="E70" s="861">
        <v>1000000</v>
      </c>
      <c r="F70" s="861">
        <v>2000000</v>
      </c>
      <c r="G70" s="862">
        <v>3000000</v>
      </c>
      <c r="H70" s="264"/>
      <c r="I70" s="264"/>
      <c r="J70" s="264"/>
    </row>
    <row r="71" spans="1:10">
      <c r="E71" s="264"/>
      <c r="F71" s="264"/>
      <c r="G71" s="264"/>
      <c r="H71" s="264"/>
      <c r="I71" s="264"/>
      <c r="J71" s="264"/>
    </row>
    <row r="72" spans="1:10" hidden="1">
      <c r="E72" s="264"/>
      <c r="F72" s="264"/>
      <c r="G72" s="264"/>
      <c r="H72" s="264"/>
      <c r="I72" s="264"/>
      <c r="J72" s="264"/>
    </row>
    <row r="73" spans="1:10" hidden="1">
      <c r="D73" t="s">
        <v>539</v>
      </c>
      <c r="E73" s="264">
        <f>E62</f>
        <v>2400000</v>
      </c>
      <c r="F73" s="264">
        <f>F62</f>
        <v>5140000</v>
      </c>
      <c r="G73" s="264">
        <f>G62</f>
        <v>5250000</v>
      </c>
      <c r="H73" s="264"/>
      <c r="I73" s="264"/>
      <c r="J73" s="264"/>
    </row>
    <row r="74" spans="1:10" hidden="1">
      <c r="E74" s="264">
        <f>E25</f>
        <v>181574000</v>
      </c>
      <c r="F74" s="264">
        <f>F25</f>
        <v>90000000</v>
      </c>
      <c r="G74" s="264">
        <f>G25</f>
        <v>100000000</v>
      </c>
      <c r="H74" s="264"/>
      <c r="I74" s="264"/>
      <c r="J74" s="264"/>
    </row>
    <row r="75" spans="1:10" hidden="1">
      <c r="E75" s="264"/>
      <c r="F75" s="264"/>
      <c r="G75" s="264"/>
      <c r="H75" s="264"/>
      <c r="I75" s="264"/>
      <c r="J75" s="264"/>
    </row>
    <row r="76" spans="1:10" hidden="1"/>
    <row r="77" spans="1:10" hidden="1">
      <c r="D77" t="s">
        <v>541</v>
      </c>
      <c r="E77">
        <v>563</v>
      </c>
      <c r="F77" s="265" t="e">
        <f>E74+#REF!</f>
        <v>#REF!</v>
      </c>
      <c r="G77" s="265" t="e">
        <f>F74+#REF!</f>
        <v>#REF!</v>
      </c>
    </row>
    <row r="78" spans="1:10" hidden="1">
      <c r="E78">
        <v>565</v>
      </c>
      <c r="F78" s="265" t="e">
        <f>E73+#REF!</f>
        <v>#REF!</v>
      </c>
      <c r="G78" s="265" t="e">
        <f>F73+#REF!</f>
        <v>#REF!</v>
      </c>
    </row>
    <row r="79" spans="1:10" hidden="1"/>
    <row r="80" spans="1:10" hidden="1"/>
    <row r="81" spans="2:7" hidden="1"/>
    <row r="82" spans="2:7" hidden="1"/>
    <row r="83" spans="2:7">
      <c r="B83" s="839" t="s">
        <v>542</v>
      </c>
      <c r="F83" s="839" t="s">
        <v>555</v>
      </c>
    </row>
    <row r="84" spans="2:7">
      <c r="B84" t="s">
        <v>543</v>
      </c>
      <c r="F84" t="s">
        <v>544</v>
      </c>
    </row>
    <row r="85" spans="2:7">
      <c r="B85" s="839"/>
    </row>
    <row r="86" spans="2:7" ht="15.75" hidden="1" thickBot="1">
      <c r="B86" s="560"/>
      <c r="F86" s="560"/>
      <c r="G86" s="560"/>
    </row>
    <row r="87" spans="2:7" hidden="1"/>
    <row r="88" spans="2:7" hidden="1"/>
    <row r="89" spans="2:7" hidden="1"/>
    <row r="90" spans="2:7" hidden="1"/>
    <row r="91" spans="2:7" hidden="1"/>
    <row r="92" spans="2:7" hidden="1"/>
    <row r="93" spans="2:7" hidden="1"/>
    <row r="94" spans="2:7" hidden="1"/>
    <row r="95" spans="2:7" hidden="1"/>
    <row r="96" spans="2:7" hidden="1"/>
    <row r="97" spans="2:7" hidden="1"/>
    <row r="98" spans="2:7" ht="15.75" thickBot="1">
      <c r="B98" s="560"/>
      <c r="F98" s="560"/>
      <c r="G98" s="560"/>
    </row>
  </sheetData>
  <customSheetViews>
    <customSheetView guid="{DE360DA9-5353-4F03-95DA-9238CFBE39D8}" showPageBreaks="1" printArea="1" hiddenRows="1" hiddenColumns="1" state="hidden">
      <selection activeCell="I77" sqref="I7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4FFB33FE-6696-4144-BF99-378C5196B940}" showPageBreaks="1" printArea="1" hiddenRows="1" hiddenColumns="1" state="hidden">
      <selection activeCell="I77" sqref="I77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3D59341C-00F4-4635-AC4F-8988CF6BE637}" hiddenRows="1" hiddenColumns="1" state="hidden">
      <selection activeCell="I77" sqref="I77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5251AB89-31D9-4C6C-945A-13C9748C2E26}" hiddenRows="1" hiddenColumns="1" state="hidden">
      <selection activeCell="I77" sqref="I77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4A1FC8C-94B5-4B4E-9269-30661976D1D1}" hiddenRows="1" hiddenColumns="1" state="hidden">
      <selection activeCell="I77" sqref="I77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D0F51479-7B68-4FFC-8604-F0A17468B00E}" hiddenRows="1" hiddenColumns="1" state="hidden">
      <selection activeCell="I77" sqref="I77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  <customSheetView guid="{0D7CE69A-AF67-471F-AE1C-92FEF35D1955}" showPageBreaks="1" printArea="1" hiddenRows="1" hiddenColumns="1" state="hidden">
      <selection activeCell="I77" sqref="I77"/>
      <pageMargins left="0.70866141732283472" right="0.70866141732283472" top="0.74803149606299213" bottom="0.74803149606299213" header="0.31496062992125984" footer="0.31496062992125984"/>
      <pageSetup paperSize="9" orientation="landscape" r:id="rId7"/>
    </customSheetView>
    <customSheetView guid="{3EC3B099-A84F-48D2-A97E-B7686AB72BE7}" showPageBreaks="1" printArea="1" hiddenRows="1" hiddenColumns="1" state="hidden">
      <selection activeCell="I77" sqref="I77"/>
      <pageMargins left="0.70866141732283472" right="0.70866141732283472" top="0.74803149606299213" bottom="0.74803149606299213" header="0.31496062992125984" footer="0.31496062992125984"/>
      <pageSetup paperSize="9" orientation="landscape" r:id="rId8"/>
    </customSheetView>
  </customSheetViews>
  <mergeCells count="5">
    <mergeCell ref="A1:G1"/>
    <mergeCell ref="A2:A3"/>
    <mergeCell ref="B2:B3"/>
    <mergeCell ref="C2:C3"/>
    <mergeCell ref="A4:B4"/>
  </mergeCells>
  <pageMargins left="0.70866141732283472" right="0.70866141732283472" top="0.74803149606299213" bottom="0.74803149606299213" header="0.31496062992125984" footer="0.31496062992125984"/>
  <pageSetup paperSize="9" scale="95" orientation="landscape"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642"/>
  <sheetViews>
    <sheetView zoomScaleNormal="100" zoomScaleSheetLayoutView="130" workbookViewId="0">
      <pane ySplit="17" topLeftCell="A18" activePane="bottomLeft" state="frozen"/>
      <selection pane="bottomLeft" activeCell="L154" sqref="L154"/>
    </sheetView>
  </sheetViews>
  <sheetFormatPr defaultRowHeight="15"/>
  <cols>
    <col min="1" max="1" width="9.7109375" style="61" customWidth="1"/>
    <col min="2" max="2" width="51.140625" customWidth="1"/>
    <col min="3" max="4" width="5.7109375" customWidth="1"/>
    <col min="5" max="5" width="14.85546875" customWidth="1"/>
    <col min="6" max="6" width="15.5703125" customWidth="1"/>
    <col min="7" max="8" width="16.7109375" customWidth="1"/>
    <col min="9" max="9" width="18.140625" hidden="1" customWidth="1"/>
    <col min="10" max="10" width="21.42578125" customWidth="1"/>
    <col min="11" max="11" width="19" customWidth="1"/>
    <col min="12" max="12" width="15" customWidth="1"/>
    <col min="13" max="13" width="11" customWidth="1"/>
  </cols>
  <sheetData>
    <row r="1" spans="1:11" ht="30" customHeight="1">
      <c r="A1" s="303"/>
      <c r="B1" s="304"/>
      <c r="C1" s="305" t="s">
        <v>220</v>
      </c>
      <c r="D1" s="305" t="s">
        <v>180</v>
      </c>
      <c r="E1" s="306" t="s">
        <v>525</v>
      </c>
      <c r="F1" s="305" t="s">
        <v>400</v>
      </c>
      <c r="G1" s="305" t="s">
        <v>491</v>
      </c>
      <c r="H1" s="808" t="s">
        <v>524</v>
      </c>
      <c r="I1" s="809" t="s">
        <v>529</v>
      </c>
    </row>
    <row r="2" spans="1:11" ht="25.5" customHeight="1">
      <c r="A2" s="308" t="s">
        <v>379</v>
      </c>
      <c r="B2" s="1085" t="s">
        <v>380</v>
      </c>
      <c r="C2" s="1086"/>
      <c r="D2" s="309"/>
      <c r="E2" s="309">
        <f>E3+E4+E6+E7+E8+E9+E10+E11+E12+E13+E14+E15</f>
        <v>589220596</v>
      </c>
      <c r="F2" s="309">
        <f t="shared" ref="F2:H2" si="0">F3+F4+F6+F7+F8+F9+F10+F11+F12+F13+F14+F15</f>
        <v>633275083.71000004</v>
      </c>
      <c r="G2" s="309">
        <f t="shared" si="0"/>
        <v>637538774.00999999</v>
      </c>
      <c r="H2" s="740">
        <f t="shared" si="0"/>
        <v>313035170.05000001</v>
      </c>
      <c r="I2" s="810">
        <f t="shared" ref="I2:I16" si="1">(F2-E2)/E2</f>
        <v>7.4767392737235608E-2</v>
      </c>
    </row>
    <row r="3" spans="1:11">
      <c r="A3" s="815"/>
      <c r="B3" s="816"/>
      <c r="C3" s="817"/>
      <c r="D3" s="311">
        <v>11</v>
      </c>
      <c r="E3" s="310">
        <f>E21+E22+E23+E25+E27+E28+E32+E33+E34+E35+E37+E38+E39+E40+E43+E44+E45+E46+E47+E49+E50+E51+E52+E54+E56+E57+E58+E59+E60+E61+E62+E65+E71+E74+E75+E79+E267+E271+E274+E275+E276+E277+E279+E281+E282+E285+E437+E440+E259+E260+E69+E265+E272+E497+E500+E501+E504+E505+E506+E508+E510+E511+E512+E513+E515+E518+E521+E523+E66+E77+E258+E257+E255+E254+E262+E76</f>
        <v>29464525</v>
      </c>
      <c r="F3" s="310">
        <f>F21+F22+F23+F25+F27+F28+F32+F33+F34+F35+F37+F38+F39+F40+F43+F44+F45+F46+F47+F49+F50+F51+F52+F54+F56+F57+F58+F59+F60+F61+F62+F65+F71+F74+F75+F79+F267+F271+F274+F275+F276+F277+F279+F281+F282+F285+F437+F440+F259+F260+F69+F265+F272+F497+F500+F501+F504+F505+F506+F508+F510+F511+F512+F513+F515+F518+F521+F523+F66+F77+F258+F257+F255+F254+F262+F76</f>
        <v>38247336</v>
      </c>
      <c r="G3" s="310">
        <f>G21+G22+G23+G25+G27+G28+G32+G33+G34+G35+G37+G38+G39+G40+G43+G44+G45+G46+G47+G49+G50+G51+G52+G54+G56+G57+G58+G59+G60+G61+G62+G65+G71+G74+G75+G79+G267+G271+G274+G275+G276+G277+G279+G281+G282+G285+G437+G440+G259+G260+G69+G265+G272+G497+G500+G501+G504+G505+G506+G508+G510+G511+G512+G513+G515+G518+G521+G523+G66+G77+G258+G257+G255+G254+G262+G76</f>
        <v>39901836</v>
      </c>
      <c r="H3" s="741">
        <f>H21+H22+H23+H25+H27+H28+H32+H33+H34+H35+H37+H38+H39+H40+H43+H44+H45+H46+H47+H49+H50+H51+H52+H54+H56+H57+H58+H59+H60+H61+H62+H65+H71+H74+H75+H79+H267+H271+H274+H275+H276+H277+H279+H281+H282+H285+H437+H440+H259+H260+H69+H265+H272+H497+H500+H501+H504+H505+H506+H508+H510+H511+H512+H513+H515+H518+H521+H523+H66+H77+H258+H257+H255+H254+H262+H76</f>
        <v>42187336</v>
      </c>
      <c r="I3" s="811">
        <f t="shared" si="1"/>
        <v>0.29808086164633574</v>
      </c>
      <c r="J3" s="22"/>
      <c r="K3" s="22"/>
    </row>
    <row r="4" spans="1:11">
      <c r="A4" s="818"/>
      <c r="B4" s="819"/>
      <c r="C4" s="820"/>
      <c r="D4" s="312">
        <v>12</v>
      </c>
      <c r="E4" s="310">
        <f>E90+E92+E96+E100+E102+E108+E110+E112+E118+E120+E124+E128+E130+E132+E134+E136+E138+E140+E142+E146+E150+E152+E158+E164+E170+E172+E176+E180+E357+E368+E371+E380+E390+E396+E401+E403+E409+E414+E419+E426+E385+E432+E122+E473+E477+H541+E484+E114+E362+E383+E399+E406+E542+E544+E548+E552+E554+E562+E560+E588+E594</f>
        <v>8980275</v>
      </c>
      <c r="F4" s="310">
        <f>F90+F92+F96+F100+F102+F108+F110+F112+F118+F120+F124+F128+F130+F132+F134+F136+F138+F140+F142+F146+F150+F152+F158+F164+F170+F172+F176+F180+F357+F368+F371+F380+F390+F396+F401+F403+F409+F414+F419+F426+F385+F432+F122+F473+F477+K541+F484+F114+F362+F383+F399+F406+F542+F544+F548+F552+F554+F562+F560+F588+F594+F574+F598+F602+F578+F582+F572+F566</f>
        <v>8218607.5099999998</v>
      </c>
      <c r="G4" s="310">
        <f>G90+G92+G96+G100+G102+G108+G110+G112+G118+G120+G124+G128+G130+G132+G134+G136+G138+G140+G142+G146+G150+G152+G158+G164+G170+G172+G176+G180+G357+G368+G371+G380+G390+G396+G401+G403+G409+G414+G419+G426+G385+G432+G122+G473+G477+L541+G484+G114+G362+G383+G399+G406+G542+G544+G548+G552+G554+G562+G560+G588+G594+G574+G598+G602+G578+G582+G572+G566</f>
        <v>8442683.5</v>
      </c>
      <c r="H4" s="741">
        <f>H90+H92+H96+H100+H102+H108+H110+H112+H118+H120+H124+H128+H130+H132+H134+H136+H138+H140+H142+H146+H150+H152+H158+H164+H170+H172+H176+H180+H357+H368+H371+H380+H390+H396+H401+H403+H409+H414+H419+H426+H385+H432+H122+H473+H477+M541+H484+H114+H362+H383+H399+H406+H542+H544+H548+H552+H554+H562+H560+H588+H594+H574+H598+H602+H578+H582+H572+H566</f>
        <v>11741165.25</v>
      </c>
      <c r="I4" s="811">
        <f t="shared" si="1"/>
        <v>-8.4815608653409855E-2</v>
      </c>
      <c r="J4" s="22"/>
      <c r="K4" s="22"/>
    </row>
    <row r="5" spans="1:11">
      <c r="A5" s="818"/>
      <c r="B5" s="819"/>
      <c r="C5" s="820"/>
      <c r="D5" s="314" t="s">
        <v>267</v>
      </c>
      <c r="E5" s="313">
        <f>E3+E4</f>
        <v>38444800</v>
      </c>
      <c r="F5" s="313">
        <f>F3+F4</f>
        <v>46465943.509999998</v>
      </c>
      <c r="G5" s="313">
        <f t="shared" ref="G5:H5" si="2">G3+G4</f>
        <v>48344519.5</v>
      </c>
      <c r="H5" s="742">
        <f t="shared" si="2"/>
        <v>53928501.25</v>
      </c>
      <c r="I5" s="811">
        <f t="shared" si="1"/>
        <v>0.20864053161936069</v>
      </c>
      <c r="J5" s="22"/>
    </row>
    <row r="6" spans="1:11">
      <c r="A6" s="818"/>
      <c r="B6" s="819"/>
      <c r="C6" s="820"/>
      <c r="D6" s="518" t="s">
        <v>0</v>
      </c>
      <c r="E6" s="310">
        <f>E83+E84</f>
        <v>80000000</v>
      </c>
      <c r="F6" s="519">
        <f>F83+F84</f>
        <v>80000000</v>
      </c>
      <c r="G6" s="519">
        <f t="shared" ref="G6:H6" si="3">G83+G84</f>
        <v>80000000</v>
      </c>
      <c r="H6" s="743">
        <f t="shared" si="3"/>
        <v>80000000</v>
      </c>
      <c r="I6" s="811">
        <f t="shared" si="1"/>
        <v>0</v>
      </c>
      <c r="J6" s="22"/>
    </row>
    <row r="7" spans="1:11">
      <c r="A7" s="818"/>
      <c r="B7" s="819"/>
      <c r="C7" s="820"/>
      <c r="D7" s="518" t="s">
        <v>82</v>
      </c>
      <c r="E7" s="310">
        <f>E202+E195+E493+E529+E531+E535</f>
        <v>78500000</v>
      </c>
      <c r="F7" s="519">
        <f>F202+F195+F493+F529+F531+F535</f>
        <v>127517353</v>
      </c>
      <c r="G7" s="519">
        <f>G202+G195+G493+G529+G531+G535</f>
        <v>150194706</v>
      </c>
      <c r="H7" s="743">
        <f>H202+H195+H493+H529+H531+H535</f>
        <v>8060000</v>
      </c>
      <c r="I7" s="811">
        <f t="shared" si="1"/>
        <v>0.62442487898089172</v>
      </c>
      <c r="J7" s="22"/>
    </row>
    <row r="8" spans="1:11">
      <c r="A8" s="818"/>
      <c r="B8" s="819"/>
      <c r="C8" s="820"/>
      <c r="D8" s="518" t="s">
        <v>216</v>
      </c>
      <c r="E8" s="310">
        <f>E196+E198</f>
        <v>0</v>
      </c>
      <c r="F8" s="519">
        <f>F196+F198</f>
        <v>14200000</v>
      </c>
      <c r="G8" s="519">
        <f t="shared" ref="G8:H8" si="4">G196+G198</f>
        <v>47500000</v>
      </c>
      <c r="H8" s="743">
        <f t="shared" si="4"/>
        <v>54000000</v>
      </c>
      <c r="I8" s="811" t="e">
        <f t="shared" si="1"/>
        <v>#DIV/0!</v>
      </c>
      <c r="J8" s="22"/>
    </row>
    <row r="9" spans="1:11">
      <c r="A9" s="818"/>
      <c r="B9" s="819"/>
      <c r="C9" s="820"/>
      <c r="D9" s="518">
        <v>563</v>
      </c>
      <c r="E9" s="310">
        <f>E197+E199+E203</f>
        <v>276500000</v>
      </c>
      <c r="F9" s="519">
        <f>F197+F199+F203</f>
        <v>193750000</v>
      </c>
      <c r="G9" s="519">
        <f t="shared" ref="G9:H9" si="5">G197+G199+G203</f>
        <v>90000000</v>
      </c>
      <c r="H9" s="743">
        <f t="shared" si="5"/>
        <v>0</v>
      </c>
      <c r="I9" s="811">
        <f t="shared" si="1"/>
        <v>-0.29927667269439423</v>
      </c>
      <c r="J9" s="22"/>
    </row>
    <row r="10" spans="1:11">
      <c r="A10" s="818"/>
      <c r="B10" s="819"/>
      <c r="C10" s="820"/>
      <c r="D10" s="518" t="s">
        <v>521</v>
      </c>
      <c r="E10" s="310">
        <f>E530+E532+E536</f>
        <v>25000000</v>
      </c>
      <c r="F10" s="519">
        <f>F530+F532+F536</f>
        <v>65265000</v>
      </c>
      <c r="G10" s="519">
        <f t="shared" ref="G10:H10" si="6">G530+G532+G536</f>
        <v>91770000</v>
      </c>
      <c r="H10" s="743">
        <f t="shared" si="6"/>
        <v>25840000</v>
      </c>
      <c r="I10" s="811">
        <f t="shared" si="1"/>
        <v>1.6106</v>
      </c>
      <c r="J10" s="22"/>
    </row>
    <row r="11" spans="1:11">
      <c r="A11" s="818"/>
      <c r="B11" s="819"/>
      <c r="C11" s="820"/>
      <c r="D11" s="312" t="s">
        <v>272</v>
      </c>
      <c r="E11" s="310">
        <f>E48</f>
        <v>0</v>
      </c>
      <c r="F11" s="310">
        <f>F48</f>
        <v>0</v>
      </c>
      <c r="G11" s="310">
        <f t="shared" ref="G11:H11" si="7">G30</f>
        <v>0</v>
      </c>
      <c r="H11" s="741">
        <f t="shared" si="7"/>
        <v>0</v>
      </c>
      <c r="I11" s="811" t="e">
        <f t="shared" si="1"/>
        <v>#DIV/0!</v>
      </c>
    </row>
    <row r="12" spans="1:11">
      <c r="A12" s="818"/>
      <c r="B12" s="819"/>
      <c r="C12" s="820"/>
      <c r="D12" s="312" t="s">
        <v>235</v>
      </c>
      <c r="E12" s="310">
        <f>E289+E292+E293+E295+E297+E298+E299+E300+E301+E302+E303+E304+E306+E308+E309+E312+E313+E315+E398+E405</f>
        <v>1307300</v>
      </c>
      <c r="F12" s="310">
        <f>F289+F292+F293+F295+F297+F298+F299+F300+F301+F302+F303+F304+F306+F308+F309+F312+F313+F315+F398+F405</f>
        <v>1315526</v>
      </c>
      <c r="G12" s="310">
        <f>G289+G292+G293+G295+G297+G298+G299+G300+G301+G302+G303+G304+G306+G308+G309+G312+G313+G315+G398+G405</f>
        <v>1515526</v>
      </c>
      <c r="H12" s="741">
        <f>H289+H292+H293+H295+H297+H298+H299+H300+H301+H302+H303+H304+H306+H308+H309+H312+H313+H315+H398+H405</f>
        <v>1756526</v>
      </c>
      <c r="I12" s="811">
        <f t="shared" si="1"/>
        <v>6.2923582957240118E-3</v>
      </c>
      <c r="J12" s="22"/>
    </row>
    <row r="13" spans="1:11">
      <c r="A13" s="818"/>
      <c r="B13" s="819"/>
      <c r="C13" s="820"/>
      <c r="D13" s="312" t="s">
        <v>507</v>
      </c>
      <c r="E13" s="310">
        <f>E474+E478+E489</f>
        <v>3663500</v>
      </c>
      <c r="F13" s="310">
        <f>F474+F478+F489</f>
        <v>2762500</v>
      </c>
      <c r="G13" s="310">
        <f t="shared" ref="G13:H13" si="8">G474+G478+G489</f>
        <v>2712500</v>
      </c>
      <c r="H13" s="741">
        <f t="shared" si="8"/>
        <v>212500</v>
      </c>
      <c r="I13" s="811">
        <f t="shared" si="1"/>
        <v>-0.24593967517401391</v>
      </c>
      <c r="J13" s="22"/>
    </row>
    <row r="14" spans="1:11">
      <c r="A14" s="818"/>
      <c r="B14" s="819"/>
      <c r="C14" s="820"/>
      <c r="D14" s="312" t="s">
        <v>315</v>
      </c>
      <c r="E14" s="310">
        <f>E488</f>
        <v>202500</v>
      </c>
      <c r="F14" s="310">
        <f>F488</f>
        <v>1000000</v>
      </c>
      <c r="G14" s="310">
        <f>G488</f>
        <v>1125000</v>
      </c>
      <c r="H14" s="741">
        <f>H488</f>
        <v>1250000</v>
      </c>
      <c r="I14" s="811">
        <f t="shared" si="1"/>
        <v>3.9382716049382718</v>
      </c>
      <c r="J14" s="22"/>
    </row>
    <row r="15" spans="1:11">
      <c r="A15" s="818"/>
      <c r="B15" s="819"/>
      <c r="C15" s="820"/>
      <c r="D15" s="312" t="s">
        <v>234</v>
      </c>
      <c r="E15" s="310">
        <f>E91+E93+E97+E101+E103+E109+E111+E119+E113+E121+E123+E125+E129+E131+E133+E135+E137+E139+E141+E143+E151+E153+E159+E165+E171+E173+E177+E181+E188+E207+E208+E210+E212+E213+E216+E217+E218+E219+E221+E222+E223+E225+E226+E227+E228+E229+E230+E231+E232+E234+E235+E238+E241+E244+E247+E248+E250+E319+E321+E323+E324+E327+E328+E329+E330+E332+E333+E335+E336+E337+E338+E339+E340+E342+E344+E345+E346+E349+E350+E358+E369+E372+E381+E386+E391+E397+E402+E404+E410+E415+E420+E427+E433+E444+E449+E450+E453+E456+E458+E459+E460+E461+E463+E467+E115+E147+E363+E384+E400+E407+E447+E454</f>
        <v>85602496</v>
      </c>
      <c r="F15" s="310">
        <f>F91+F93+F97+F101+F103+F109+F111+F119+F113+F121+F123+F125+F129+F131+F133+F135+F137+F139+F141+F143+F151+F153+F159+F165+F171+F173+F177+F181+F188+F207+F208+F210+F212+F213+F216+F217+F218+F219+F221+F222+F223+F225+F226+F227+F228+F229+F230+F231+F232+F234+F235+F238+F241+F244+F247+F248+F250+F319+F321+F323+F324+F327+F328+F329+F330+F332+F333+F335+F336+F337+F338+F339+F340+F342+F344+F345+F346+F349+F350+F358+F369+F372+F381+F386+F391+F397+F402+F404+F410+F415+F420+F427+F433+F444+F449+F450+F453+F456+F458+F459+F460+F461+F463+F467+F115+F147+F363+F384+F400+F407+F447+F454</f>
        <v>100998761.20000002</v>
      </c>
      <c r="G15" s="310">
        <f>G91+G93+G97+G101+G103+G109+G111+G119+G113+G121+G123+G125+G129+G131+G133+G135+G137+G139+G141+G143+G151+G153+G159+G165+G171+G173+G177+G181+G188+G207+G208+G210+G212+G213+G216+G217+G218+G219+G221+G222+G223+G225+G226+G227+G228+G229+G230+G231+G232+G234+G235+G238+G241+G244+G247+G248+G250+G319+G321+G323+G324+G327+G328+G329+G330+G332+G333+G335+G336+G337+G338+G339+G340+G342+G344+G345+G346+G349+G350+G358+G369+G372+G381+G386+G391+G397+G402+G404+G410+G415+G420+G427+G433+G444+G449+G450+G453+G456+G458+G459+G460+G461+G463+G467+G115+G147+G363+G384+G400+G407+G447</f>
        <v>124376522.51000001</v>
      </c>
      <c r="H15" s="741">
        <f>H91+H93+H97+H101+H103+H109+H111+H119+H113+H121+H123+H125+H129+H131+H133+H135+H137+H139+H141+H143+H151+H153+H159+H165+H171+H173+H177+H181+H188+H207+H208+H210+H212+H213+H216+H217+H218+H219+H221+H222+H223+H225+H226+H227+H228+H229+H230+H231+H232+H234+H235+H238+H241+H244+H247+H248+H250+H319+H321+H323+H324+H327+H328+H329+H330+H332+H333+H335+H336+H337+H338+H339+H340+H342+H344+H345+H346+H349+H350+H358+H369+H372+H381+H386+H391+H397+H402+H404+H410+H415+H420+H427+H433+H444+H449+H450+H453+H456+H458+H459+H460+H461+H463+H467+H115+H147+H363+H384+H400+H407+H447</f>
        <v>87987642.799999997</v>
      </c>
      <c r="I15" s="811">
        <f t="shared" si="1"/>
        <v>0.17985766676710008</v>
      </c>
      <c r="J15" s="264"/>
      <c r="K15" s="265"/>
    </row>
    <row r="16" spans="1:11">
      <c r="A16" s="821"/>
      <c r="B16" s="822"/>
      <c r="C16" s="823"/>
      <c r="D16" s="312" t="s">
        <v>521</v>
      </c>
      <c r="E16" s="310">
        <f>E543+E545+E549+E553+E555+E561+E563+E589+E595</f>
        <v>0</v>
      </c>
      <c r="F16" s="310">
        <f>F543+F545+F549+F553+F555+F561+F563+F589+F595+F575+F599+F603+F579+F583+F573+F571+F567</f>
        <v>3185853.38</v>
      </c>
      <c r="G16" s="310">
        <f t="shared" ref="G16:H16" si="9">G543+G545+G549+G553+G555+G561+G563+G589+G595+G575+G599+G603+G579+G583+G573+G571+G567</f>
        <v>2445350</v>
      </c>
      <c r="H16" s="741">
        <f t="shared" si="9"/>
        <v>2456450</v>
      </c>
      <c r="I16" s="811" t="e">
        <f t="shared" si="1"/>
        <v>#DIV/0!</v>
      </c>
      <c r="J16" s="264"/>
    </row>
    <row r="17" spans="1:12">
      <c r="A17" s="1088" t="s">
        <v>377</v>
      </c>
      <c r="B17" s="1088"/>
      <c r="C17" s="1089"/>
      <c r="D17" s="315"/>
      <c r="E17" s="315"/>
      <c r="F17" s="315"/>
      <c r="G17" s="315"/>
      <c r="H17" s="744"/>
      <c r="I17" s="812"/>
    </row>
    <row r="18" spans="1:12">
      <c r="A18" s="316" t="s">
        <v>381</v>
      </c>
      <c r="B18" s="317" t="s">
        <v>187</v>
      </c>
      <c r="C18" s="318" t="s">
        <v>232</v>
      </c>
      <c r="D18" s="319"/>
      <c r="E18" s="319">
        <f>E19+E29+E30+E63+E67+E72</f>
        <v>14084303</v>
      </c>
      <c r="F18" s="319">
        <f>F19+F29+F30+F63+F67+F72</f>
        <v>12390600</v>
      </c>
      <c r="G18" s="319">
        <f>G19+G29+G30+G63+G67+G72</f>
        <v>12278500</v>
      </c>
      <c r="H18" s="745">
        <f>H19+H29+H30+H63+H67+H72</f>
        <v>12536000</v>
      </c>
      <c r="I18" s="813">
        <f t="shared" ref="I18:I47" si="10">(F18-E18)/E18</f>
        <v>-0.12025465512918886</v>
      </c>
    </row>
    <row r="19" spans="1:12">
      <c r="A19" s="612" t="s">
        <v>272</v>
      </c>
      <c r="B19" s="613" t="s">
        <v>474</v>
      </c>
      <c r="C19" s="614" t="s">
        <v>232</v>
      </c>
      <c r="D19" s="616">
        <v>11</v>
      </c>
      <c r="E19" s="615">
        <f>E20+E24+E26</f>
        <v>5768603</v>
      </c>
      <c r="F19" s="615">
        <f>F20+F24+F26</f>
        <v>5394600</v>
      </c>
      <c r="G19" s="615">
        <f t="shared" ref="G19:H19" si="11">G20+G24+G26</f>
        <v>5615000</v>
      </c>
      <c r="H19" s="746">
        <f t="shared" si="11"/>
        <v>5847500</v>
      </c>
      <c r="I19" s="807">
        <f t="shared" si="10"/>
        <v>-6.4834241496598055E-2</v>
      </c>
      <c r="J19" s="22"/>
      <c r="K19" s="22"/>
    </row>
    <row r="20" spans="1:12" hidden="1">
      <c r="A20" s="320" t="s">
        <v>1</v>
      </c>
      <c r="B20" s="321" t="s">
        <v>2</v>
      </c>
      <c r="C20" s="334" t="s">
        <v>232</v>
      </c>
      <c r="D20" s="326">
        <v>11</v>
      </c>
      <c r="E20" s="323">
        <f>E21+E23+E22</f>
        <v>4198457</v>
      </c>
      <c r="F20" s="323">
        <f>SUM(F21:F23)</f>
        <v>3945400</v>
      </c>
      <c r="G20" s="323">
        <f t="shared" ref="G20:H20" si="12">SUM(G21:G23)</f>
        <v>4133800</v>
      </c>
      <c r="H20" s="747">
        <f t="shared" si="12"/>
        <v>4331800</v>
      </c>
      <c r="I20" s="807">
        <f t="shared" si="10"/>
        <v>-6.0273810116430869E-2</v>
      </c>
    </row>
    <row r="21" spans="1:12" hidden="1">
      <c r="A21" s="324" t="s">
        <v>3</v>
      </c>
      <c r="B21" s="325" t="s">
        <v>4</v>
      </c>
      <c r="C21" s="334" t="s">
        <v>232</v>
      </c>
      <c r="D21" s="326" t="s">
        <v>0</v>
      </c>
      <c r="E21" s="327">
        <v>3924657</v>
      </c>
      <c r="F21" s="341">
        <v>3771600</v>
      </c>
      <c r="G21" s="341">
        <v>3960000</v>
      </c>
      <c r="H21" s="748">
        <v>4158000</v>
      </c>
      <c r="I21" s="807">
        <f t="shared" si="10"/>
        <v>-3.8998822062666881E-2</v>
      </c>
      <c r="J21" s="22"/>
      <c r="K21" s="22"/>
    </row>
    <row r="22" spans="1:12" hidden="1">
      <c r="A22" s="324">
        <v>3112</v>
      </c>
      <c r="B22" s="325" t="s">
        <v>150</v>
      </c>
      <c r="C22" s="334" t="s">
        <v>232</v>
      </c>
      <c r="D22" s="326" t="s">
        <v>0</v>
      </c>
      <c r="E22" s="327">
        <v>73800</v>
      </c>
      <c r="F22" s="341">
        <v>73800</v>
      </c>
      <c r="G22" s="341">
        <v>73800</v>
      </c>
      <c r="H22" s="748">
        <v>73800</v>
      </c>
      <c r="I22" s="807">
        <f t="shared" si="10"/>
        <v>0</v>
      </c>
      <c r="J22" s="22"/>
      <c r="K22" s="22"/>
    </row>
    <row r="23" spans="1:12" hidden="1">
      <c r="A23" s="324" t="s">
        <v>5</v>
      </c>
      <c r="B23" s="325" t="s">
        <v>6</v>
      </c>
      <c r="C23" s="334" t="s">
        <v>232</v>
      </c>
      <c r="D23" s="326" t="s">
        <v>0</v>
      </c>
      <c r="E23" s="327">
        <v>200000</v>
      </c>
      <c r="F23" s="341">
        <v>100000</v>
      </c>
      <c r="G23" s="341">
        <v>100000</v>
      </c>
      <c r="H23" s="748">
        <v>100000</v>
      </c>
      <c r="I23" s="807">
        <f t="shared" si="10"/>
        <v>-0.5</v>
      </c>
      <c r="J23" s="22"/>
      <c r="K23" s="22"/>
    </row>
    <row r="24" spans="1:12" hidden="1">
      <c r="A24" s="320" t="s">
        <v>7</v>
      </c>
      <c r="B24" s="321" t="s">
        <v>8</v>
      </c>
      <c r="C24" s="322" t="s">
        <v>232</v>
      </c>
      <c r="D24" s="333" t="s">
        <v>0</v>
      </c>
      <c r="E24" s="323">
        <f>E25</f>
        <v>889600</v>
      </c>
      <c r="F24" s="323">
        <f>F25</f>
        <v>800000</v>
      </c>
      <c r="G24" s="323">
        <f t="shared" ref="G24:H24" si="13">G25</f>
        <v>800000</v>
      </c>
      <c r="H24" s="747">
        <f t="shared" si="13"/>
        <v>800000</v>
      </c>
      <c r="I24" s="791">
        <f t="shared" si="10"/>
        <v>-0.10071942446043165</v>
      </c>
      <c r="J24" s="22"/>
      <c r="K24" s="463"/>
      <c r="L24" s="463"/>
    </row>
    <row r="25" spans="1:12" hidden="1">
      <c r="A25" s="324" t="s">
        <v>9</v>
      </c>
      <c r="B25" s="325" t="s">
        <v>8</v>
      </c>
      <c r="C25" s="334" t="s">
        <v>232</v>
      </c>
      <c r="D25" s="326" t="s">
        <v>0</v>
      </c>
      <c r="E25" s="327">
        <v>889600</v>
      </c>
      <c r="F25" s="341">
        <v>800000</v>
      </c>
      <c r="G25" s="341">
        <v>800000</v>
      </c>
      <c r="H25" s="748">
        <v>800000</v>
      </c>
      <c r="I25" s="791">
        <f t="shared" si="10"/>
        <v>-0.10071942446043165</v>
      </c>
      <c r="J25" s="22"/>
    </row>
    <row r="26" spans="1:12" hidden="1">
      <c r="A26" s="320" t="s">
        <v>10</v>
      </c>
      <c r="B26" s="321" t="s">
        <v>11</v>
      </c>
      <c r="C26" s="322" t="s">
        <v>232</v>
      </c>
      <c r="D26" s="333" t="s">
        <v>0</v>
      </c>
      <c r="E26" s="323">
        <f>E27+E28</f>
        <v>680546</v>
      </c>
      <c r="F26" s="323">
        <f>F27+F28</f>
        <v>649200</v>
      </c>
      <c r="G26" s="323">
        <f t="shared" ref="G26:H26" si="14">G27+G28</f>
        <v>681200</v>
      </c>
      <c r="H26" s="747">
        <f t="shared" si="14"/>
        <v>715700</v>
      </c>
      <c r="I26" s="791">
        <f t="shared" si="10"/>
        <v>-4.6060075292485736E-2</v>
      </c>
      <c r="J26" s="22"/>
    </row>
    <row r="27" spans="1:12" hidden="1">
      <c r="A27" s="324" t="s">
        <v>12</v>
      </c>
      <c r="B27" s="325" t="s">
        <v>13</v>
      </c>
      <c r="C27" s="334" t="s">
        <v>232</v>
      </c>
      <c r="D27" s="326" t="s">
        <v>0</v>
      </c>
      <c r="E27" s="327">
        <v>613282</v>
      </c>
      <c r="F27" s="341">
        <v>585000</v>
      </c>
      <c r="G27" s="341">
        <v>613800</v>
      </c>
      <c r="H27" s="748">
        <v>645000</v>
      </c>
      <c r="I27" s="791">
        <f t="shared" si="10"/>
        <v>-4.6115816215052785E-2</v>
      </c>
      <c r="J27" s="22"/>
    </row>
    <row r="28" spans="1:12" hidden="1">
      <c r="A28" s="324" t="s">
        <v>14</v>
      </c>
      <c r="B28" s="325" t="s">
        <v>293</v>
      </c>
      <c r="C28" s="334" t="s">
        <v>232</v>
      </c>
      <c r="D28" s="326" t="s">
        <v>0</v>
      </c>
      <c r="E28" s="327">
        <v>67264</v>
      </c>
      <c r="F28" s="341">
        <v>64200</v>
      </c>
      <c r="G28" s="341">
        <v>67400</v>
      </c>
      <c r="H28" s="748">
        <v>70700</v>
      </c>
      <c r="I28" s="791">
        <f t="shared" si="10"/>
        <v>-4.5551855375832541E-2</v>
      </c>
      <c r="J28" s="22"/>
    </row>
    <row r="29" spans="1:12">
      <c r="A29" s="612" t="s">
        <v>475</v>
      </c>
      <c r="B29" s="613" t="s">
        <v>476</v>
      </c>
      <c r="C29" s="614" t="s">
        <v>232</v>
      </c>
      <c r="D29" s="616">
        <v>11</v>
      </c>
      <c r="E29" s="615">
        <f>E31+E36+E41+E53+E55</f>
        <v>7636700</v>
      </c>
      <c r="F29" s="615">
        <f>F31+F36+F41+F53+F55</f>
        <v>6216000</v>
      </c>
      <c r="G29" s="615">
        <f>G31+G36+G41+G53+G55</f>
        <v>5793500</v>
      </c>
      <c r="H29" s="746">
        <f>H31+H36+H41+H53+H55</f>
        <v>5798500</v>
      </c>
      <c r="I29" s="791">
        <f t="shared" si="10"/>
        <v>-0.18603585318265742</v>
      </c>
      <c r="J29" s="22"/>
    </row>
    <row r="30" spans="1:12" hidden="1">
      <c r="A30" s="612" t="s">
        <v>475</v>
      </c>
      <c r="B30" s="613" t="s">
        <v>476</v>
      </c>
      <c r="C30" s="614" t="s">
        <v>232</v>
      </c>
      <c r="D30" s="616">
        <v>31</v>
      </c>
      <c r="E30" s="615">
        <v>0</v>
      </c>
      <c r="F30" s="615">
        <f>F42</f>
        <v>0</v>
      </c>
      <c r="G30" s="615">
        <f t="shared" ref="G30:H30" si="15">G42</f>
        <v>0</v>
      </c>
      <c r="H30" s="615">
        <f t="shared" si="15"/>
        <v>0</v>
      </c>
      <c r="I30" s="791" t="e">
        <f t="shared" si="10"/>
        <v>#DIV/0!</v>
      </c>
      <c r="J30" s="22"/>
    </row>
    <row r="31" spans="1:12" hidden="1">
      <c r="A31" s="320" t="s">
        <v>16</v>
      </c>
      <c r="B31" s="321" t="s">
        <v>17</v>
      </c>
      <c r="C31" s="322" t="s">
        <v>232</v>
      </c>
      <c r="D31" s="333">
        <v>11</v>
      </c>
      <c r="E31" s="323">
        <f>SUM(E32:E35)</f>
        <v>570000</v>
      </c>
      <c r="F31" s="323">
        <f>F32+F33+F34+F35</f>
        <v>309000</v>
      </c>
      <c r="G31" s="323">
        <f>G32+G33+G34+G35</f>
        <v>309000</v>
      </c>
      <c r="H31" s="747">
        <f>H32+H33+H34+H35</f>
        <v>309000</v>
      </c>
      <c r="I31" s="791">
        <f t="shared" si="10"/>
        <v>-0.45789473684210524</v>
      </c>
      <c r="J31" s="22"/>
    </row>
    <row r="32" spans="1:12" hidden="1">
      <c r="A32" s="324" t="s">
        <v>18</v>
      </c>
      <c r="B32" s="325" t="s">
        <v>19</v>
      </c>
      <c r="C32" s="334" t="s">
        <v>232</v>
      </c>
      <c r="D32" s="326" t="s">
        <v>0</v>
      </c>
      <c r="E32" s="327">
        <v>200000</v>
      </c>
      <c r="F32" s="341">
        <v>120000</v>
      </c>
      <c r="G32" s="341">
        <v>120000</v>
      </c>
      <c r="H32" s="748">
        <v>120000</v>
      </c>
      <c r="I32" s="791">
        <f t="shared" si="10"/>
        <v>-0.4</v>
      </c>
    </row>
    <row r="33" spans="1:11" hidden="1">
      <c r="A33" s="324" t="s">
        <v>20</v>
      </c>
      <c r="B33" s="325" t="s">
        <v>21</v>
      </c>
      <c r="C33" s="334" t="s">
        <v>232</v>
      </c>
      <c r="D33" s="326" t="s">
        <v>0</v>
      </c>
      <c r="E33" s="327">
        <v>300000</v>
      </c>
      <c r="F33" s="341">
        <v>118000</v>
      </c>
      <c r="G33" s="341">
        <v>118000</v>
      </c>
      <c r="H33" s="748">
        <v>118000</v>
      </c>
      <c r="I33" s="791">
        <f t="shared" si="10"/>
        <v>-0.60666666666666669</v>
      </c>
    </row>
    <row r="34" spans="1:11" hidden="1">
      <c r="A34" s="324" t="s">
        <v>22</v>
      </c>
      <c r="B34" s="325" t="s">
        <v>23</v>
      </c>
      <c r="C34" s="334" t="s">
        <v>232</v>
      </c>
      <c r="D34" s="326" t="s">
        <v>0</v>
      </c>
      <c r="E34" s="327">
        <v>70000</v>
      </c>
      <c r="F34" s="341">
        <v>70000</v>
      </c>
      <c r="G34" s="341">
        <v>70000</v>
      </c>
      <c r="H34" s="748">
        <v>70000</v>
      </c>
      <c r="I34" s="791">
        <f t="shared" si="10"/>
        <v>0</v>
      </c>
      <c r="J34" s="22"/>
    </row>
    <row r="35" spans="1:11" hidden="1">
      <c r="A35" s="324">
        <v>3214</v>
      </c>
      <c r="B35" s="325" t="s">
        <v>335</v>
      </c>
      <c r="C35" s="334" t="s">
        <v>232</v>
      </c>
      <c r="D35" s="326" t="s">
        <v>0</v>
      </c>
      <c r="E35" s="327">
        <v>0</v>
      </c>
      <c r="F35" s="341">
        <v>1000</v>
      </c>
      <c r="G35" s="341">
        <v>1000</v>
      </c>
      <c r="H35" s="748">
        <v>1000</v>
      </c>
      <c r="I35" s="791" t="e">
        <f t="shared" si="10"/>
        <v>#DIV/0!</v>
      </c>
    </row>
    <row r="36" spans="1:11" hidden="1">
      <c r="A36" s="320" t="s">
        <v>24</v>
      </c>
      <c r="B36" s="321" t="s">
        <v>25</v>
      </c>
      <c r="C36" s="322" t="s">
        <v>232</v>
      </c>
      <c r="D36" s="333" t="s">
        <v>0</v>
      </c>
      <c r="E36" s="323">
        <f>SUM(E37:E40)</f>
        <v>1046000</v>
      </c>
      <c r="F36" s="323">
        <f>SUM(F37:F40)</f>
        <v>610000</v>
      </c>
      <c r="G36" s="323">
        <f t="shared" ref="G36:H36" si="16">SUM(G37:G40)</f>
        <v>610000</v>
      </c>
      <c r="H36" s="747">
        <f t="shared" si="16"/>
        <v>610000</v>
      </c>
      <c r="I36" s="791">
        <f t="shared" si="10"/>
        <v>-0.4168260038240918</v>
      </c>
    </row>
    <row r="37" spans="1:11" hidden="1">
      <c r="A37" s="324" t="s">
        <v>26</v>
      </c>
      <c r="B37" s="325" t="s">
        <v>27</v>
      </c>
      <c r="C37" s="334" t="s">
        <v>232</v>
      </c>
      <c r="D37" s="326" t="s">
        <v>0</v>
      </c>
      <c r="E37" s="327">
        <v>347000</v>
      </c>
      <c r="F37" s="341">
        <v>135000</v>
      </c>
      <c r="G37" s="341">
        <v>135000</v>
      </c>
      <c r="H37" s="748">
        <v>135000</v>
      </c>
      <c r="I37" s="791">
        <f t="shared" si="10"/>
        <v>-0.61095100864553309</v>
      </c>
    </row>
    <row r="38" spans="1:11" hidden="1">
      <c r="A38" s="324" t="s">
        <v>28</v>
      </c>
      <c r="B38" s="330" t="s">
        <v>29</v>
      </c>
      <c r="C38" s="334" t="s">
        <v>232</v>
      </c>
      <c r="D38" s="326" t="s">
        <v>0</v>
      </c>
      <c r="E38" s="327">
        <v>626000</v>
      </c>
      <c r="F38" s="341">
        <v>400000</v>
      </c>
      <c r="G38" s="341">
        <v>400000</v>
      </c>
      <c r="H38" s="748">
        <v>400000</v>
      </c>
      <c r="I38" s="791">
        <f t="shared" si="10"/>
        <v>-0.36102236421725242</v>
      </c>
    </row>
    <row r="39" spans="1:11" hidden="1">
      <c r="A39" s="324" t="s">
        <v>30</v>
      </c>
      <c r="B39" s="325" t="s">
        <v>31</v>
      </c>
      <c r="C39" s="334" t="s">
        <v>232</v>
      </c>
      <c r="D39" s="326" t="s">
        <v>0</v>
      </c>
      <c r="E39" s="327">
        <v>13000</v>
      </c>
      <c r="F39" s="341">
        <v>40000</v>
      </c>
      <c r="G39" s="341">
        <v>40000</v>
      </c>
      <c r="H39" s="748">
        <v>40000</v>
      </c>
      <c r="I39" s="791">
        <f t="shared" si="10"/>
        <v>2.0769230769230771</v>
      </c>
    </row>
    <row r="40" spans="1:11" hidden="1">
      <c r="A40" s="324" t="s">
        <v>32</v>
      </c>
      <c r="B40" s="325" t="s">
        <v>33</v>
      </c>
      <c r="C40" s="334" t="s">
        <v>232</v>
      </c>
      <c r="D40" s="326" t="s">
        <v>0</v>
      </c>
      <c r="E40" s="327">
        <v>60000</v>
      </c>
      <c r="F40" s="341">
        <v>35000</v>
      </c>
      <c r="G40" s="341">
        <v>35000</v>
      </c>
      <c r="H40" s="748">
        <v>35000</v>
      </c>
      <c r="I40" s="791">
        <f t="shared" si="10"/>
        <v>-0.41666666666666669</v>
      </c>
    </row>
    <row r="41" spans="1:11" hidden="1">
      <c r="A41" s="320" t="s">
        <v>34</v>
      </c>
      <c r="B41" s="321" t="s">
        <v>35</v>
      </c>
      <c r="C41" s="322" t="s">
        <v>232</v>
      </c>
      <c r="D41" s="333">
        <v>11</v>
      </c>
      <c r="E41" s="323">
        <f>SUM(E43:E52)</f>
        <v>5442200</v>
      </c>
      <c r="F41" s="323">
        <f>F43+F44+F45+F46+F47+F49+F50+F51+F52</f>
        <v>4711000</v>
      </c>
      <c r="G41" s="323">
        <f t="shared" ref="G41:H41" si="17">G43+G44+G45+G46+G47+G49+G50+G51+G52</f>
        <v>4288500</v>
      </c>
      <c r="H41" s="323">
        <f t="shared" si="17"/>
        <v>4293500</v>
      </c>
      <c r="I41" s="791">
        <f t="shared" si="10"/>
        <v>-0.13435742898092684</v>
      </c>
    </row>
    <row r="42" spans="1:11" hidden="1">
      <c r="A42" s="320" t="s">
        <v>34</v>
      </c>
      <c r="B42" s="321" t="s">
        <v>35</v>
      </c>
      <c r="C42" s="322" t="s">
        <v>232</v>
      </c>
      <c r="D42" s="333" t="s">
        <v>272</v>
      </c>
      <c r="E42" s="323">
        <v>0</v>
      </c>
      <c r="F42" s="323">
        <f>F48</f>
        <v>0</v>
      </c>
      <c r="G42" s="323">
        <f t="shared" ref="G42:H42" si="18">G48</f>
        <v>0</v>
      </c>
      <c r="H42" s="323">
        <f t="shared" si="18"/>
        <v>0</v>
      </c>
      <c r="I42" s="791" t="e">
        <f t="shared" si="10"/>
        <v>#DIV/0!</v>
      </c>
    </row>
    <row r="43" spans="1:11" hidden="1">
      <c r="A43" s="324" t="s">
        <v>36</v>
      </c>
      <c r="B43" s="325" t="s">
        <v>37</v>
      </c>
      <c r="C43" s="334" t="s">
        <v>232</v>
      </c>
      <c r="D43" s="326" t="s">
        <v>0</v>
      </c>
      <c r="E43" s="327">
        <v>769200</v>
      </c>
      <c r="F43" s="341">
        <v>400000</v>
      </c>
      <c r="G43" s="341">
        <v>400000</v>
      </c>
      <c r="H43" s="748">
        <v>400000</v>
      </c>
      <c r="I43" s="791">
        <f t="shared" si="10"/>
        <v>-0.47997919916796672</v>
      </c>
    </row>
    <row r="44" spans="1:11" hidden="1">
      <c r="A44" s="324" t="s">
        <v>38</v>
      </c>
      <c r="B44" s="325" t="s">
        <v>39</v>
      </c>
      <c r="C44" s="334" t="s">
        <v>232</v>
      </c>
      <c r="D44" s="326" t="s">
        <v>0</v>
      </c>
      <c r="E44" s="327">
        <v>864500</v>
      </c>
      <c r="F44" s="341">
        <v>800000</v>
      </c>
      <c r="G44" s="341">
        <v>800000</v>
      </c>
      <c r="H44" s="748">
        <v>800000</v>
      </c>
      <c r="I44" s="791">
        <f t="shared" si="10"/>
        <v>-7.4609600925390401E-2</v>
      </c>
    </row>
    <row r="45" spans="1:11" hidden="1">
      <c r="A45" s="324" t="s">
        <v>40</v>
      </c>
      <c r="B45" s="325" t="s">
        <v>41</v>
      </c>
      <c r="C45" s="334" t="s">
        <v>232</v>
      </c>
      <c r="D45" s="326" t="s">
        <v>0</v>
      </c>
      <c r="E45" s="327">
        <v>400000</v>
      </c>
      <c r="F45" s="341">
        <v>600000</v>
      </c>
      <c r="G45" s="341">
        <v>600000</v>
      </c>
      <c r="H45" s="748">
        <v>600000</v>
      </c>
      <c r="I45" s="791">
        <f t="shared" si="10"/>
        <v>0.5</v>
      </c>
    </row>
    <row r="46" spans="1:11" hidden="1">
      <c r="A46" s="324" t="s">
        <v>42</v>
      </c>
      <c r="B46" s="325" t="s">
        <v>43</v>
      </c>
      <c r="C46" s="334" t="s">
        <v>232</v>
      </c>
      <c r="D46" s="326" t="s">
        <v>0</v>
      </c>
      <c r="E46" s="327">
        <v>756400</v>
      </c>
      <c r="F46" s="341">
        <v>400000</v>
      </c>
      <c r="G46" s="341">
        <v>400000</v>
      </c>
      <c r="H46" s="748">
        <v>400000</v>
      </c>
      <c r="I46" s="791">
        <f t="shared" si="10"/>
        <v>-0.47117927022739292</v>
      </c>
      <c r="K46" s="806"/>
    </row>
    <row r="47" spans="1:11" hidden="1">
      <c r="A47" s="324" t="s">
        <v>44</v>
      </c>
      <c r="B47" s="325" t="s">
        <v>45</v>
      </c>
      <c r="C47" s="334" t="s">
        <v>232</v>
      </c>
      <c r="D47" s="326" t="s">
        <v>0</v>
      </c>
      <c r="E47" s="327">
        <v>1792100</v>
      </c>
      <c r="F47" s="341">
        <f>685000+326000+100000</f>
        <v>1111000</v>
      </c>
      <c r="G47" s="341">
        <f t="shared" ref="G47:H47" si="19">685000+326000+100000</f>
        <v>1111000</v>
      </c>
      <c r="H47" s="341">
        <f t="shared" si="19"/>
        <v>1111000</v>
      </c>
      <c r="I47" s="791">
        <f t="shared" si="10"/>
        <v>-0.38005691646671502</v>
      </c>
    </row>
    <row r="48" spans="1:11" hidden="1">
      <c r="A48" s="324">
        <v>3235</v>
      </c>
      <c r="B48" s="325" t="s">
        <v>45</v>
      </c>
      <c r="C48" s="334" t="s">
        <v>232</v>
      </c>
      <c r="D48" s="326" t="s">
        <v>272</v>
      </c>
      <c r="E48" s="327">
        <v>0</v>
      </c>
      <c r="F48" s="341">
        <v>0</v>
      </c>
      <c r="G48" s="341">
        <v>0</v>
      </c>
      <c r="H48" s="748">
        <v>0</v>
      </c>
      <c r="I48" s="791"/>
      <c r="K48" s="806"/>
    </row>
    <row r="49" spans="1:9" hidden="1">
      <c r="A49" s="324" t="s">
        <v>46</v>
      </c>
      <c r="B49" s="325" t="s">
        <v>47</v>
      </c>
      <c r="C49" s="334" t="s">
        <v>232</v>
      </c>
      <c r="D49" s="326" t="s">
        <v>0</v>
      </c>
      <c r="E49" s="327">
        <v>21000</v>
      </c>
      <c r="F49" s="341">
        <v>65000</v>
      </c>
      <c r="G49" s="341">
        <v>42500</v>
      </c>
      <c r="H49" s="748">
        <v>47500</v>
      </c>
      <c r="I49" s="791">
        <f t="shared" ref="I49:I112" si="20">(F49-E49)/E49</f>
        <v>2.0952380952380953</v>
      </c>
    </row>
    <row r="50" spans="1:9" hidden="1">
      <c r="A50" s="324" t="s">
        <v>48</v>
      </c>
      <c r="B50" s="325" t="s">
        <v>49</v>
      </c>
      <c r="C50" s="334" t="s">
        <v>232</v>
      </c>
      <c r="D50" s="326" t="s">
        <v>0</v>
      </c>
      <c r="E50" s="327">
        <v>400000</v>
      </c>
      <c r="F50" s="341">
        <v>400000</v>
      </c>
      <c r="G50" s="341"/>
      <c r="H50" s="748"/>
      <c r="I50" s="791">
        <f t="shared" si="20"/>
        <v>0</v>
      </c>
    </row>
    <row r="51" spans="1:9" hidden="1">
      <c r="A51" s="324" t="s">
        <v>50</v>
      </c>
      <c r="B51" s="325" t="s">
        <v>51</v>
      </c>
      <c r="C51" s="334" t="s">
        <v>232</v>
      </c>
      <c r="D51" s="326" t="s">
        <v>0</v>
      </c>
      <c r="E51" s="327">
        <v>123000</v>
      </c>
      <c r="F51" s="341">
        <v>470000</v>
      </c>
      <c r="G51" s="341">
        <v>470000</v>
      </c>
      <c r="H51" s="748">
        <v>470000</v>
      </c>
      <c r="I51" s="791">
        <f t="shared" si="20"/>
        <v>2.821138211382114</v>
      </c>
    </row>
    <row r="52" spans="1:9" hidden="1">
      <c r="A52" s="324" t="s">
        <v>52</v>
      </c>
      <c r="B52" s="325" t="s">
        <v>53</v>
      </c>
      <c r="C52" s="334" t="s">
        <v>232</v>
      </c>
      <c r="D52" s="326" t="s">
        <v>0</v>
      </c>
      <c r="E52" s="327">
        <v>316000</v>
      </c>
      <c r="F52" s="341">
        <v>465000</v>
      </c>
      <c r="G52" s="341">
        <v>465000</v>
      </c>
      <c r="H52" s="748">
        <v>465000</v>
      </c>
      <c r="I52" s="791">
        <f t="shared" si="20"/>
        <v>0.47151898734177217</v>
      </c>
    </row>
    <row r="53" spans="1:9" hidden="1">
      <c r="A53" s="320" t="s">
        <v>54</v>
      </c>
      <c r="B53" s="321" t="s">
        <v>55</v>
      </c>
      <c r="C53" s="322" t="s">
        <v>232</v>
      </c>
      <c r="D53" s="333" t="s">
        <v>0</v>
      </c>
      <c r="E53" s="323">
        <f>SUM(E54:E54)</f>
        <v>60500</v>
      </c>
      <c r="F53" s="323">
        <f>SUM(F54)</f>
        <v>0</v>
      </c>
      <c r="G53" s="323">
        <f t="shared" ref="G53:H53" si="21">SUM(G54)</f>
        <v>0</v>
      </c>
      <c r="H53" s="747">
        <f t="shared" si="21"/>
        <v>0</v>
      </c>
      <c r="I53" s="791">
        <f t="shared" si="20"/>
        <v>-1</v>
      </c>
    </row>
    <row r="54" spans="1:9" hidden="1">
      <c r="A54" s="324" t="s">
        <v>56</v>
      </c>
      <c r="B54" s="325" t="s">
        <v>55</v>
      </c>
      <c r="C54" s="334" t="s">
        <v>232</v>
      </c>
      <c r="D54" s="326" t="s">
        <v>0</v>
      </c>
      <c r="E54" s="327">
        <v>60500</v>
      </c>
      <c r="F54" s="341">
        <v>0</v>
      </c>
      <c r="G54" s="341">
        <v>0</v>
      </c>
      <c r="H54" s="748">
        <v>0</v>
      </c>
      <c r="I54" s="791">
        <f t="shared" si="20"/>
        <v>-1</v>
      </c>
    </row>
    <row r="55" spans="1:9" hidden="1">
      <c r="A55" s="320" t="s">
        <v>57</v>
      </c>
      <c r="B55" s="321" t="s">
        <v>58</v>
      </c>
      <c r="C55" s="322" t="s">
        <v>232</v>
      </c>
      <c r="D55" s="702">
        <v>11</v>
      </c>
      <c r="E55" s="323">
        <f>E56+E57+E58+E59+E60+E62+E61</f>
        <v>518000</v>
      </c>
      <c r="F55" s="323">
        <f>SUM(F56:F62)</f>
        <v>586000</v>
      </c>
      <c r="G55" s="323">
        <f>SUM(G56:G62)</f>
        <v>586000</v>
      </c>
      <c r="H55" s="747">
        <f>SUM(H56:H62)</f>
        <v>586000</v>
      </c>
      <c r="I55" s="791">
        <f t="shared" si="20"/>
        <v>0.13127413127413126</v>
      </c>
    </row>
    <row r="56" spans="1:9" hidden="1">
      <c r="A56" s="324" t="s">
        <v>59</v>
      </c>
      <c r="B56" s="325" t="s">
        <v>60</v>
      </c>
      <c r="C56" s="334" t="s">
        <v>232</v>
      </c>
      <c r="D56" s="326" t="s">
        <v>0</v>
      </c>
      <c r="E56" s="327">
        <v>39000</v>
      </c>
      <c r="F56" s="341">
        <v>39000</v>
      </c>
      <c r="G56" s="341">
        <v>39000</v>
      </c>
      <c r="H56" s="748">
        <v>39000</v>
      </c>
      <c r="I56" s="791">
        <f t="shared" si="20"/>
        <v>0</v>
      </c>
    </row>
    <row r="57" spans="1:9" hidden="1">
      <c r="A57" s="324" t="s">
        <v>61</v>
      </c>
      <c r="B57" s="325" t="s">
        <v>62</v>
      </c>
      <c r="C57" s="334" t="s">
        <v>232</v>
      </c>
      <c r="D57" s="326" t="s">
        <v>0</v>
      </c>
      <c r="E57" s="327">
        <v>50000</v>
      </c>
      <c r="F57" s="341">
        <v>50000</v>
      </c>
      <c r="G57" s="341">
        <v>50000</v>
      </c>
      <c r="H57" s="748">
        <v>50000</v>
      </c>
      <c r="I57" s="791">
        <f t="shared" si="20"/>
        <v>0</v>
      </c>
    </row>
    <row r="58" spans="1:9" hidden="1">
      <c r="A58" s="324" t="s">
        <v>63</v>
      </c>
      <c r="B58" s="325" t="s">
        <v>64</v>
      </c>
      <c r="C58" s="334" t="s">
        <v>232</v>
      </c>
      <c r="D58" s="326" t="s">
        <v>0</v>
      </c>
      <c r="E58" s="327">
        <v>85000</v>
      </c>
      <c r="F58" s="341">
        <v>85000</v>
      </c>
      <c r="G58" s="341">
        <v>85000</v>
      </c>
      <c r="H58" s="748">
        <v>85000</v>
      </c>
      <c r="I58" s="791">
        <f t="shared" si="20"/>
        <v>0</v>
      </c>
    </row>
    <row r="59" spans="1:9" hidden="1">
      <c r="A59" s="324" t="s">
        <v>65</v>
      </c>
      <c r="B59" s="325" t="s">
        <v>66</v>
      </c>
      <c r="C59" s="334" t="s">
        <v>232</v>
      </c>
      <c r="D59" s="326" t="s">
        <v>0</v>
      </c>
      <c r="E59" s="327">
        <v>50000</v>
      </c>
      <c r="F59" s="341">
        <v>77000</v>
      </c>
      <c r="G59" s="341">
        <v>77000</v>
      </c>
      <c r="H59" s="748">
        <v>77000</v>
      </c>
      <c r="I59" s="791">
        <f t="shared" si="20"/>
        <v>0.54</v>
      </c>
    </row>
    <row r="60" spans="1:9" hidden="1">
      <c r="A60" s="324" t="s">
        <v>67</v>
      </c>
      <c r="B60" s="325" t="s">
        <v>68</v>
      </c>
      <c r="C60" s="334" t="s">
        <v>232</v>
      </c>
      <c r="D60" s="326" t="s">
        <v>0</v>
      </c>
      <c r="E60" s="327">
        <v>60000</v>
      </c>
      <c r="F60" s="341">
        <v>125000</v>
      </c>
      <c r="G60" s="341">
        <v>125000</v>
      </c>
      <c r="H60" s="748">
        <v>125000</v>
      </c>
      <c r="I60" s="791">
        <f t="shared" si="20"/>
        <v>1.0833333333333333</v>
      </c>
    </row>
    <row r="61" spans="1:9" hidden="1">
      <c r="A61" s="324">
        <v>3296</v>
      </c>
      <c r="B61" s="325" t="s">
        <v>106</v>
      </c>
      <c r="C61" s="334" t="s">
        <v>232</v>
      </c>
      <c r="D61" s="326" t="s">
        <v>0</v>
      </c>
      <c r="E61" s="327">
        <v>184000</v>
      </c>
      <c r="F61" s="341">
        <f>100000+50000</f>
        <v>150000</v>
      </c>
      <c r="G61" s="341">
        <f t="shared" ref="G61:H61" si="22">100000+50000</f>
        <v>150000</v>
      </c>
      <c r="H61" s="341">
        <f t="shared" si="22"/>
        <v>150000</v>
      </c>
      <c r="I61" s="791">
        <f t="shared" si="20"/>
        <v>-0.18478260869565216</v>
      </c>
    </row>
    <row r="62" spans="1:9" hidden="1">
      <c r="A62" s="324" t="s">
        <v>69</v>
      </c>
      <c r="B62" s="325" t="s">
        <v>58</v>
      </c>
      <c r="C62" s="334" t="s">
        <v>232</v>
      </c>
      <c r="D62" s="326" t="s">
        <v>0</v>
      </c>
      <c r="E62" s="327">
        <v>50000</v>
      </c>
      <c r="F62" s="341">
        <v>60000</v>
      </c>
      <c r="G62" s="341">
        <v>60000</v>
      </c>
      <c r="H62" s="748">
        <v>60000</v>
      </c>
      <c r="I62" s="791">
        <f t="shared" si="20"/>
        <v>0.2</v>
      </c>
    </row>
    <row r="63" spans="1:9">
      <c r="A63" s="612" t="s">
        <v>477</v>
      </c>
      <c r="B63" s="613" t="s">
        <v>478</v>
      </c>
      <c r="C63" s="614" t="s">
        <v>232</v>
      </c>
      <c r="D63" s="616">
        <v>11</v>
      </c>
      <c r="E63" s="615">
        <f>E64</f>
        <v>9000</v>
      </c>
      <c r="F63" s="615">
        <f>F64</f>
        <v>10000</v>
      </c>
      <c r="G63" s="615">
        <f t="shared" ref="G63:H63" si="23">G64</f>
        <v>10000</v>
      </c>
      <c r="H63" s="746">
        <f t="shared" si="23"/>
        <v>10000</v>
      </c>
      <c r="I63" s="791">
        <f t="shared" si="20"/>
        <v>0.1111111111111111</v>
      </c>
    </row>
    <row r="64" spans="1:9" hidden="1">
      <c r="A64" s="320" t="s">
        <v>70</v>
      </c>
      <c r="B64" s="321" t="s">
        <v>71</v>
      </c>
      <c r="C64" s="334" t="s">
        <v>232</v>
      </c>
      <c r="D64" s="326">
        <v>11</v>
      </c>
      <c r="E64" s="323">
        <f>SUM(E65:E65)</f>
        <v>9000</v>
      </c>
      <c r="F64" s="323">
        <f>SUM(F65:F66)</f>
        <v>10000</v>
      </c>
      <c r="G64" s="323">
        <f t="shared" ref="G64:H64" si="24">SUM(G65:G66)</f>
        <v>10000</v>
      </c>
      <c r="H64" s="747">
        <f t="shared" si="24"/>
        <v>10000</v>
      </c>
      <c r="I64" s="791">
        <f t="shared" si="20"/>
        <v>0.1111111111111111</v>
      </c>
    </row>
    <row r="65" spans="1:11" hidden="1">
      <c r="A65" s="324" t="s">
        <v>72</v>
      </c>
      <c r="B65" s="325" t="s">
        <v>73</v>
      </c>
      <c r="C65" s="334" t="s">
        <v>232</v>
      </c>
      <c r="D65" s="326" t="s">
        <v>0</v>
      </c>
      <c r="E65" s="327">
        <v>9000</v>
      </c>
      <c r="F65" s="341">
        <v>9000</v>
      </c>
      <c r="G65" s="341">
        <v>9000</v>
      </c>
      <c r="H65" s="748">
        <v>9000</v>
      </c>
      <c r="I65" s="791">
        <f t="shared" si="20"/>
        <v>0</v>
      </c>
    </row>
    <row r="66" spans="1:11" hidden="1">
      <c r="A66" s="324">
        <v>3433</v>
      </c>
      <c r="B66" s="325" t="s">
        <v>75</v>
      </c>
      <c r="C66" s="334" t="s">
        <v>232</v>
      </c>
      <c r="D66" s="326" t="s">
        <v>0</v>
      </c>
      <c r="E66" s="327">
        <v>0</v>
      </c>
      <c r="F66" s="341">
        <v>1000</v>
      </c>
      <c r="G66" s="341">
        <v>1000</v>
      </c>
      <c r="H66" s="748">
        <v>1000</v>
      </c>
      <c r="I66" s="791" t="e">
        <f t="shared" si="20"/>
        <v>#DIV/0!</v>
      </c>
    </row>
    <row r="67" spans="1:11">
      <c r="A67" s="612" t="s">
        <v>449</v>
      </c>
      <c r="B67" s="613" t="s">
        <v>479</v>
      </c>
      <c r="C67" s="614" t="s">
        <v>232</v>
      </c>
      <c r="D67" s="616">
        <v>11</v>
      </c>
      <c r="E67" s="615">
        <f>E68+E70</f>
        <v>70000</v>
      </c>
      <c r="F67" s="615">
        <f>F68+F70</f>
        <v>100000</v>
      </c>
      <c r="G67" s="615">
        <f t="shared" ref="G67:H67" si="25">G68+G70</f>
        <v>70000</v>
      </c>
      <c r="H67" s="746">
        <f t="shared" si="25"/>
        <v>70000</v>
      </c>
      <c r="I67" s="791">
        <f t="shared" si="20"/>
        <v>0.42857142857142855</v>
      </c>
      <c r="J67" s="22"/>
      <c r="K67" s="22"/>
    </row>
    <row r="68" spans="1:11" hidden="1">
      <c r="A68" s="332">
        <v>411</v>
      </c>
      <c r="B68" s="321" t="s">
        <v>426</v>
      </c>
      <c r="C68" s="334" t="s">
        <v>232</v>
      </c>
      <c r="D68" s="333" t="s">
        <v>0</v>
      </c>
      <c r="E68" s="327"/>
      <c r="F68" s="331">
        <f>F69</f>
        <v>0</v>
      </c>
      <c r="G68" s="331">
        <f t="shared" ref="G68:H68" si="26">G69</f>
        <v>0</v>
      </c>
      <c r="H68" s="749">
        <f t="shared" si="26"/>
        <v>0</v>
      </c>
      <c r="I68" s="791" t="e">
        <f t="shared" si="20"/>
        <v>#DIV/0!</v>
      </c>
      <c r="J68" s="22"/>
      <c r="K68" s="22"/>
    </row>
    <row r="69" spans="1:11" hidden="1">
      <c r="A69" s="339">
        <v>4111</v>
      </c>
      <c r="B69" s="337" t="s">
        <v>427</v>
      </c>
      <c r="C69" s="334" t="s">
        <v>232</v>
      </c>
      <c r="D69" s="326" t="s">
        <v>0</v>
      </c>
      <c r="E69" s="327"/>
      <c r="F69" s="341"/>
      <c r="G69" s="341"/>
      <c r="H69" s="748"/>
      <c r="I69" s="791" t="e">
        <f t="shared" si="20"/>
        <v>#DIV/0!</v>
      </c>
    </row>
    <row r="70" spans="1:11" hidden="1">
      <c r="A70" s="320" t="s">
        <v>83</v>
      </c>
      <c r="B70" s="321" t="s">
        <v>84</v>
      </c>
      <c r="C70" s="322" t="s">
        <v>232</v>
      </c>
      <c r="D70" s="333" t="s">
        <v>0</v>
      </c>
      <c r="E70" s="331">
        <f>SUM(E71)</f>
        <v>70000</v>
      </c>
      <c r="F70" s="331">
        <f>SUM(F71)</f>
        <v>100000</v>
      </c>
      <c r="G70" s="331">
        <f t="shared" ref="G70:H70" si="27">SUM(G71)</f>
        <v>70000</v>
      </c>
      <c r="H70" s="749">
        <f t="shared" si="27"/>
        <v>70000</v>
      </c>
      <c r="I70" s="791">
        <f t="shared" si="20"/>
        <v>0.42857142857142855</v>
      </c>
    </row>
    <row r="71" spans="1:11" hidden="1">
      <c r="A71" s="324" t="s">
        <v>85</v>
      </c>
      <c r="B71" s="325" t="s">
        <v>86</v>
      </c>
      <c r="C71" s="334" t="s">
        <v>232</v>
      </c>
      <c r="D71" s="326" t="s">
        <v>0</v>
      </c>
      <c r="E71" s="327">
        <v>70000</v>
      </c>
      <c r="F71" s="341">
        <v>100000</v>
      </c>
      <c r="G71" s="341">
        <v>70000</v>
      </c>
      <c r="H71" s="748">
        <v>70000</v>
      </c>
      <c r="I71" s="791">
        <f t="shared" si="20"/>
        <v>0.42857142857142855</v>
      </c>
    </row>
    <row r="72" spans="1:11">
      <c r="A72" s="612" t="s">
        <v>481</v>
      </c>
      <c r="B72" s="613" t="s">
        <v>480</v>
      </c>
      <c r="C72" s="614" t="s">
        <v>232</v>
      </c>
      <c r="D72" s="616">
        <v>11</v>
      </c>
      <c r="E72" s="615">
        <f>E73+E78</f>
        <v>600000</v>
      </c>
      <c r="F72" s="615">
        <f>F73+F78</f>
        <v>670000</v>
      </c>
      <c r="G72" s="615">
        <f t="shared" ref="G72:H72" si="28">G73+G78</f>
        <v>790000</v>
      </c>
      <c r="H72" s="746">
        <f t="shared" si="28"/>
        <v>810000</v>
      </c>
      <c r="I72" s="791">
        <f t="shared" si="20"/>
        <v>0.11666666666666667</v>
      </c>
    </row>
    <row r="73" spans="1:11" hidden="1">
      <c r="A73" s="320" t="s">
        <v>88</v>
      </c>
      <c r="B73" s="321" t="s">
        <v>89</v>
      </c>
      <c r="C73" s="322" t="s">
        <v>232</v>
      </c>
      <c r="D73" s="333" t="s">
        <v>0</v>
      </c>
      <c r="E73" s="331">
        <f>SUM(E74:E75)</f>
        <v>400000</v>
      </c>
      <c r="F73" s="331">
        <f>SUM(F74:F77)</f>
        <v>470000</v>
      </c>
      <c r="G73" s="331">
        <f t="shared" ref="G73:H73" si="29">SUM(G74:G77)</f>
        <v>490000</v>
      </c>
      <c r="H73" s="331">
        <f t="shared" si="29"/>
        <v>510000</v>
      </c>
      <c r="I73" s="791">
        <f t="shared" si="20"/>
        <v>0.17499999999999999</v>
      </c>
    </row>
    <row r="74" spans="1:11" hidden="1">
      <c r="A74" s="324" t="s">
        <v>90</v>
      </c>
      <c r="B74" s="325" t="s">
        <v>91</v>
      </c>
      <c r="C74" s="334" t="s">
        <v>232</v>
      </c>
      <c r="D74" s="326" t="s">
        <v>0</v>
      </c>
      <c r="E74" s="327">
        <v>400000</v>
      </c>
      <c r="F74" s="341">
        <v>400000</v>
      </c>
      <c r="G74" s="341">
        <v>450000</v>
      </c>
      <c r="H74" s="748">
        <v>490000</v>
      </c>
      <c r="I74" s="791">
        <f t="shared" si="20"/>
        <v>0</v>
      </c>
    </row>
    <row r="75" spans="1:11" hidden="1">
      <c r="A75" s="324" t="s">
        <v>92</v>
      </c>
      <c r="B75" s="325" t="s">
        <v>93</v>
      </c>
      <c r="C75" s="334" t="s">
        <v>232</v>
      </c>
      <c r="D75" s="326" t="s">
        <v>0</v>
      </c>
      <c r="E75" s="327">
        <v>0</v>
      </c>
      <c r="F75" s="341">
        <v>20000</v>
      </c>
      <c r="G75" s="341">
        <v>20000</v>
      </c>
      <c r="H75" s="748">
        <v>20000</v>
      </c>
      <c r="I75" s="791" t="e">
        <f t="shared" si="20"/>
        <v>#DIV/0!</v>
      </c>
    </row>
    <row r="76" spans="1:11" hidden="1">
      <c r="A76" s="324">
        <v>4223</v>
      </c>
      <c r="B76" s="325" t="s">
        <v>95</v>
      </c>
      <c r="C76" s="334" t="s">
        <v>232</v>
      </c>
      <c r="D76" s="326" t="s">
        <v>0</v>
      </c>
      <c r="E76" s="327">
        <v>0</v>
      </c>
      <c r="F76" s="341">
        <v>30000</v>
      </c>
      <c r="G76" s="341">
        <v>0</v>
      </c>
      <c r="H76" s="748">
        <v>0</v>
      </c>
      <c r="I76" s="791" t="e">
        <f t="shared" si="20"/>
        <v>#DIV/0!</v>
      </c>
    </row>
    <row r="77" spans="1:11" hidden="1">
      <c r="A77" s="324">
        <v>4225</v>
      </c>
      <c r="B77" s="325" t="s">
        <v>97</v>
      </c>
      <c r="C77" s="334" t="s">
        <v>232</v>
      </c>
      <c r="D77" s="326" t="s">
        <v>0</v>
      </c>
      <c r="E77" s="327">
        <v>0</v>
      </c>
      <c r="F77" s="341">
        <v>20000</v>
      </c>
      <c r="G77" s="341">
        <v>20000</v>
      </c>
      <c r="H77" s="748">
        <v>0</v>
      </c>
      <c r="I77" s="791" t="e">
        <f t="shared" si="20"/>
        <v>#DIV/0!</v>
      </c>
    </row>
    <row r="78" spans="1:11" hidden="1">
      <c r="A78" s="332">
        <v>426</v>
      </c>
      <c r="B78" s="321" t="s">
        <v>181</v>
      </c>
      <c r="C78" s="322" t="s">
        <v>232</v>
      </c>
      <c r="D78" s="333" t="s">
        <v>0</v>
      </c>
      <c r="E78" s="331">
        <f>SUM(E79)</f>
        <v>200000</v>
      </c>
      <c r="F78" s="331">
        <f>SUM(F79)</f>
        <v>200000</v>
      </c>
      <c r="G78" s="331">
        <f t="shared" ref="G78:H78" si="30">SUM(G79)</f>
        <v>300000</v>
      </c>
      <c r="H78" s="749">
        <f t="shared" si="30"/>
        <v>300000</v>
      </c>
      <c r="I78" s="791">
        <f t="shared" si="20"/>
        <v>0</v>
      </c>
    </row>
    <row r="79" spans="1:11" hidden="1">
      <c r="A79" s="324">
        <v>4262</v>
      </c>
      <c r="B79" s="325" t="s">
        <v>182</v>
      </c>
      <c r="C79" s="334" t="s">
        <v>232</v>
      </c>
      <c r="D79" s="326" t="s">
        <v>0</v>
      </c>
      <c r="E79" s="327">
        <v>200000</v>
      </c>
      <c r="F79" s="341">
        <v>200000</v>
      </c>
      <c r="G79" s="341">
        <v>300000</v>
      </c>
      <c r="H79" s="748">
        <v>300000</v>
      </c>
      <c r="I79" s="791">
        <f t="shared" si="20"/>
        <v>0</v>
      </c>
    </row>
    <row r="80" spans="1:11">
      <c r="A80" s="316" t="s">
        <v>383</v>
      </c>
      <c r="B80" s="317" t="s">
        <v>346</v>
      </c>
      <c r="C80" s="318" t="s">
        <v>232</v>
      </c>
      <c r="D80" s="319"/>
      <c r="E80" s="319">
        <f>E82</f>
        <v>80000000</v>
      </c>
      <c r="F80" s="319">
        <f>F82</f>
        <v>80000000</v>
      </c>
      <c r="G80" s="319">
        <f t="shared" ref="G80:H80" si="31">G82</f>
        <v>80000000</v>
      </c>
      <c r="H80" s="745">
        <f t="shared" si="31"/>
        <v>80000000</v>
      </c>
      <c r="I80" s="792">
        <f t="shared" si="20"/>
        <v>0</v>
      </c>
    </row>
    <row r="81" spans="1:11">
      <c r="A81" s="612" t="s">
        <v>235</v>
      </c>
      <c r="B81" s="613" t="s">
        <v>482</v>
      </c>
      <c r="C81" s="614" t="s">
        <v>232</v>
      </c>
      <c r="D81" s="616">
        <v>11</v>
      </c>
      <c r="E81" s="615">
        <f>E82</f>
        <v>80000000</v>
      </c>
      <c r="F81" s="615">
        <f>F82</f>
        <v>80000000</v>
      </c>
      <c r="G81" s="615">
        <f t="shared" ref="G81:H81" si="32">G82</f>
        <v>80000000</v>
      </c>
      <c r="H81" s="746">
        <f t="shared" si="32"/>
        <v>80000000</v>
      </c>
      <c r="I81" s="791">
        <f t="shared" si="20"/>
        <v>0</v>
      </c>
    </row>
    <row r="82" spans="1:11" hidden="1">
      <c r="A82" s="320" t="s">
        <v>342</v>
      </c>
      <c r="B82" s="321" t="s">
        <v>343</v>
      </c>
      <c r="C82" s="326" t="s">
        <v>232</v>
      </c>
      <c r="D82" s="326">
        <v>11</v>
      </c>
      <c r="E82" s="331">
        <f>E83+E84</f>
        <v>80000000</v>
      </c>
      <c r="F82" s="331">
        <f>SUM(F83:F84)</f>
        <v>80000000</v>
      </c>
      <c r="G82" s="331">
        <f t="shared" ref="G82:H82" si="33">SUM(G83:G84)</f>
        <v>80000000</v>
      </c>
      <c r="H82" s="749">
        <f t="shared" si="33"/>
        <v>80000000</v>
      </c>
      <c r="I82" s="791">
        <f t="shared" si="20"/>
        <v>0</v>
      </c>
    </row>
    <row r="83" spans="1:11" hidden="1">
      <c r="A83" s="617">
        <v>5163</v>
      </c>
      <c r="B83" s="618" t="s">
        <v>344</v>
      </c>
      <c r="C83" s="326" t="s">
        <v>232</v>
      </c>
      <c r="D83" s="326" t="s">
        <v>0</v>
      </c>
      <c r="E83" s="327">
        <v>40000000</v>
      </c>
      <c r="F83" s="341">
        <v>40000000</v>
      </c>
      <c r="G83" s="341">
        <v>40000000</v>
      </c>
      <c r="H83" s="748">
        <v>40000000</v>
      </c>
      <c r="I83" s="791">
        <f t="shared" si="20"/>
        <v>0</v>
      </c>
    </row>
    <row r="84" spans="1:11" hidden="1">
      <c r="A84" s="617">
        <v>5164</v>
      </c>
      <c r="B84" s="618" t="s">
        <v>345</v>
      </c>
      <c r="C84" s="326" t="s">
        <v>232</v>
      </c>
      <c r="D84" s="326" t="s">
        <v>0</v>
      </c>
      <c r="E84" s="327">
        <v>40000000</v>
      </c>
      <c r="F84" s="341">
        <v>40000000</v>
      </c>
      <c r="G84" s="341">
        <v>40000000</v>
      </c>
      <c r="H84" s="748">
        <v>40000000</v>
      </c>
      <c r="I84" s="791">
        <f t="shared" si="20"/>
        <v>0</v>
      </c>
    </row>
    <row r="85" spans="1:11">
      <c r="A85" s="316" t="s">
        <v>384</v>
      </c>
      <c r="B85" s="317" t="s">
        <v>358</v>
      </c>
      <c r="C85" s="318" t="s">
        <v>232</v>
      </c>
      <c r="D85" s="319"/>
      <c r="E85" s="319">
        <f>E86+E87+E104+E105+E154+E155+E160+E161+E166+E167</f>
        <v>43216226</v>
      </c>
      <c r="F85" s="319">
        <f>F86+F87+F104+F105+F154+F155+F160+F161+F166+F167</f>
        <v>45138021</v>
      </c>
      <c r="G85" s="319">
        <f t="shared" ref="G85:H85" si="34">G86+G87+G104+G105+G154+G155+G160+G161+G166+G167</f>
        <v>47349529</v>
      </c>
      <c r="H85" s="745">
        <f t="shared" si="34"/>
        <v>49183049</v>
      </c>
      <c r="I85" s="792">
        <f t="shared" si="20"/>
        <v>4.4469292621711114E-2</v>
      </c>
      <c r="J85" s="22"/>
    </row>
    <row r="86" spans="1:11">
      <c r="A86" s="612" t="s">
        <v>272</v>
      </c>
      <c r="B86" s="613" t="s">
        <v>474</v>
      </c>
      <c r="C86" s="614" t="s">
        <v>232</v>
      </c>
      <c r="D86" s="616">
        <v>12</v>
      </c>
      <c r="E86" s="615">
        <f>E88+E94+E98</f>
        <v>4266525</v>
      </c>
      <c r="F86" s="615">
        <f>F88+F94+F98</f>
        <v>4990000</v>
      </c>
      <c r="G86" s="615">
        <f t="shared" ref="G86:H87" si="35">G88+G94+G98</f>
        <v>5251400</v>
      </c>
      <c r="H86" s="746">
        <f t="shared" si="35"/>
        <v>5487700</v>
      </c>
      <c r="I86" s="791">
        <f t="shared" si="20"/>
        <v>0.16957008338167479</v>
      </c>
    </row>
    <row r="87" spans="1:11">
      <c r="A87" s="612" t="s">
        <v>272</v>
      </c>
      <c r="B87" s="613" t="s">
        <v>474</v>
      </c>
      <c r="C87" s="614" t="s">
        <v>232</v>
      </c>
      <c r="D87" s="616">
        <v>563</v>
      </c>
      <c r="E87" s="615">
        <f>E89+E95+E99</f>
        <v>24176901</v>
      </c>
      <c r="F87" s="615">
        <f>F89+F95+F99</f>
        <v>28273100</v>
      </c>
      <c r="G87" s="615">
        <f t="shared" si="35"/>
        <v>29757200</v>
      </c>
      <c r="H87" s="746">
        <f t="shared" si="35"/>
        <v>32503200</v>
      </c>
      <c r="I87" s="791">
        <f t="shared" si="20"/>
        <v>0.16942613943780471</v>
      </c>
      <c r="J87" s="264"/>
      <c r="K87" s="264"/>
    </row>
    <row r="88" spans="1:11" hidden="1">
      <c r="A88" s="320" t="s">
        <v>1</v>
      </c>
      <c r="B88" s="321" t="s">
        <v>2</v>
      </c>
      <c r="C88" s="322" t="s">
        <v>232</v>
      </c>
      <c r="D88" s="322">
        <v>12</v>
      </c>
      <c r="E88" s="323">
        <f>E90+E92</f>
        <v>3135226</v>
      </c>
      <c r="F88" s="323">
        <f>F90+F92</f>
        <v>3884000</v>
      </c>
      <c r="G88" s="323">
        <f t="shared" ref="G88:H89" si="36">G90+G92</f>
        <v>4107500</v>
      </c>
      <c r="H88" s="747">
        <f t="shared" si="36"/>
        <v>4309200</v>
      </c>
      <c r="I88" s="791">
        <f t="shared" si="20"/>
        <v>0.23882616436582244</v>
      </c>
    </row>
    <row r="89" spans="1:11" hidden="1">
      <c r="A89" s="320" t="s">
        <v>1</v>
      </c>
      <c r="B89" s="321" t="s">
        <v>2</v>
      </c>
      <c r="C89" s="322" t="s">
        <v>232</v>
      </c>
      <c r="D89" s="322">
        <v>563</v>
      </c>
      <c r="E89" s="323">
        <f>E91+E93</f>
        <v>17766278</v>
      </c>
      <c r="F89" s="323">
        <f>F91+F93</f>
        <v>22009000</v>
      </c>
      <c r="G89" s="323">
        <f t="shared" si="36"/>
        <v>23275500</v>
      </c>
      <c r="H89" s="747">
        <f t="shared" si="36"/>
        <v>25618500</v>
      </c>
      <c r="I89" s="791">
        <f t="shared" si="20"/>
        <v>0.23880758817350489</v>
      </c>
    </row>
    <row r="90" spans="1:11" hidden="1">
      <c r="A90" s="324" t="s">
        <v>3</v>
      </c>
      <c r="B90" s="325" t="s">
        <v>4</v>
      </c>
      <c r="C90" s="334" t="s">
        <v>232</v>
      </c>
      <c r="D90" s="334" t="s">
        <v>82</v>
      </c>
      <c r="E90" s="335">
        <v>3105226</v>
      </c>
      <c r="F90" s="335">
        <v>3810400</v>
      </c>
      <c r="G90" s="335">
        <v>4033900</v>
      </c>
      <c r="H90" s="750">
        <v>4235600</v>
      </c>
      <c r="I90" s="791">
        <f t="shared" si="20"/>
        <v>0.22709264961712933</v>
      </c>
      <c r="J90" s="22"/>
      <c r="K90" s="22"/>
    </row>
    <row r="91" spans="1:11" hidden="1">
      <c r="A91" s="324" t="s">
        <v>3</v>
      </c>
      <c r="B91" s="325" t="s">
        <v>4</v>
      </c>
      <c r="C91" s="334" t="s">
        <v>232</v>
      </c>
      <c r="D91" s="334" t="s">
        <v>234</v>
      </c>
      <c r="E91" s="335">
        <v>17596278</v>
      </c>
      <c r="F91" s="335">
        <v>21592000</v>
      </c>
      <c r="G91" s="335">
        <v>22858500</v>
      </c>
      <c r="H91" s="750">
        <v>25201500</v>
      </c>
      <c r="I91" s="791">
        <f t="shared" si="20"/>
        <v>0.22707768085955451</v>
      </c>
      <c r="J91" s="22"/>
      <c r="K91" s="22"/>
    </row>
    <row r="92" spans="1:11" hidden="1">
      <c r="A92" s="336" t="s">
        <v>5</v>
      </c>
      <c r="B92" s="337" t="s">
        <v>6</v>
      </c>
      <c r="C92" s="334" t="s">
        <v>232</v>
      </c>
      <c r="D92" s="334" t="s">
        <v>82</v>
      </c>
      <c r="E92" s="335">
        <v>30000</v>
      </c>
      <c r="F92" s="335">
        <v>73600</v>
      </c>
      <c r="G92" s="335">
        <v>73600</v>
      </c>
      <c r="H92" s="750">
        <v>73600</v>
      </c>
      <c r="I92" s="791">
        <f t="shared" si="20"/>
        <v>1.4533333333333334</v>
      </c>
      <c r="J92" s="22"/>
      <c r="K92" s="22"/>
    </row>
    <row r="93" spans="1:11" hidden="1">
      <c r="A93" s="336" t="s">
        <v>5</v>
      </c>
      <c r="B93" s="337" t="s">
        <v>6</v>
      </c>
      <c r="C93" s="334" t="s">
        <v>232</v>
      </c>
      <c r="D93" s="334" t="s">
        <v>234</v>
      </c>
      <c r="E93" s="335">
        <v>170000</v>
      </c>
      <c r="F93" s="335">
        <v>417000</v>
      </c>
      <c r="G93" s="335">
        <v>417000</v>
      </c>
      <c r="H93" s="750">
        <v>417000</v>
      </c>
      <c r="I93" s="791">
        <f t="shared" si="20"/>
        <v>1.4529411764705882</v>
      </c>
      <c r="J93" s="22"/>
      <c r="K93" s="22"/>
    </row>
    <row r="94" spans="1:11" hidden="1">
      <c r="A94" s="320" t="s">
        <v>7</v>
      </c>
      <c r="B94" s="321" t="s">
        <v>8</v>
      </c>
      <c r="C94" s="334" t="s">
        <v>232</v>
      </c>
      <c r="D94" s="322">
        <v>12</v>
      </c>
      <c r="E94" s="323">
        <f>E96</f>
        <v>597200</v>
      </c>
      <c r="F94" s="323">
        <f>F96</f>
        <v>450000</v>
      </c>
      <c r="G94" s="323">
        <f t="shared" ref="G94:H95" si="37">G96</f>
        <v>450000</v>
      </c>
      <c r="H94" s="747">
        <f t="shared" si="37"/>
        <v>450000</v>
      </c>
      <c r="I94" s="791">
        <f t="shared" si="20"/>
        <v>-0.24648359008707302</v>
      </c>
      <c r="J94" s="22"/>
    </row>
    <row r="95" spans="1:11" hidden="1">
      <c r="A95" s="320" t="s">
        <v>7</v>
      </c>
      <c r="B95" s="321" t="s">
        <v>8</v>
      </c>
      <c r="C95" s="334" t="s">
        <v>232</v>
      </c>
      <c r="D95" s="322">
        <v>563</v>
      </c>
      <c r="E95" s="323">
        <f>E97</f>
        <v>3384000</v>
      </c>
      <c r="F95" s="323">
        <f>F97</f>
        <v>2550000</v>
      </c>
      <c r="G95" s="323">
        <f t="shared" si="37"/>
        <v>2550000</v>
      </c>
      <c r="H95" s="747">
        <f t="shared" si="37"/>
        <v>2550000</v>
      </c>
      <c r="I95" s="791">
        <f t="shared" si="20"/>
        <v>-0.24645390070921985</v>
      </c>
      <c r="J95" s="22"/>
    </row>
    <row r="96" spans="1:11" hidden="1">
      <c r="A96" s="324" t="s">
        <v>9</v>
      </c>
      <c r="B96" s="325" t="s">
        <v>8</v>
      </c>
      <c r="C96" s="334" t="s">
        <v>232</v>
      </c>
      <c r="D96" s="334" t="s">
        <v>82</v>
      </c>
      <c r="E96" s="335">
        <v>597200</v>
      </c>
      <c r="F96" s="335">
        <v>450000</v>
      </c>
      <c r="G96" s="335">
        <v>450000</v>
      </c>
      <c r="H96" s="750">
        <v>450000</v>
      </c>
      <c r="I96" s="791">
        <f t="shared" si="20"/>
        <v>-0.24648359008707302</v>
      </c>
      <c r="J96" s="264"/>
    </row>
    <row r="97" spans="1:10" hidden="1">
      <c r="A97" s="324" t="s">
        <v>9</v>
      </c>
      <c r="B97" s="325" t="s">
        <v>8</v>
      </c>
      <c r="C97" s="334" t="s">
        <v>232</v>
      </c>
      <c r="D97" s="334" t="s">
        <v>234</v>
      </c>
      <c r="E97" s="335">
        <v>3384000</v>
      </c>
      <c r="F97" s="335">
        <v>2550000</v>
      </c>
      <c r="G97" s="335">
        <v>2550000</v>
      </c>
      <c r="H97" s="750">
        <v>2550000</v>
      </c>
      <c r="I97" s="791">
        <f t="shared" si="20"/>
        <v>-0.24645390070921985</v>
      </c>
      <c r="J97" s="264"/>
    </row>
    <row r="98" spans="1:10" hidden="1">
      <c r="A98" s="320" t="s">
        <v>10</v>
      </c>
      <c r="B98" s="321" t="s">
        <v>11</v>
      </c>
      <c r="C98" s="334" t="s">
        <v>232</v>
      </c>
      <c r="D98" s="322">
        <v>12</v>
      </c>
      <c r="E98" s="323">
        <f>E100+E102</f>
        <v>534099</v>
      </c>
      <c r="F98" s="323">
        <f>F100+F102</f>
        <v>656000</v>
      </c>
      <c r="G98" s="323">
        <f t="shared" ref="G98:H99" si="38">G100+G102</f>
        <v>693900</v>
      </c>
      <c r="H98" s="747">
        <f t="shared" si="38"/>
        <v>728500</v>
      </c>
      <c r="I98" s="791">
        <f t="shared" si="20"/>
        <v>0.22823671266937404</v>
      </c>
    </row>
    <row r="99" spans="1:10" hidden="1">
      <c r="A99" s="320" t="s">
        <v>10</v>
      </c>
      <c r="B99" s="321" t="s">
        <v>11</v>
      </c>
      <c r="C99" s="334" t="s">
        <v>232</v>
      </c>
      <c r="D99" s="322">
        <v>563</v>
      </c>
      <c r="E99" s="323">
        <f>E101+E103</f>
        <v>3026623</v>
      </c>
      <c r="F99" s="323">
        <f>F101+F103</f>
        <v>3714100</v>
      </c>
      <c r="G99" s="323">
        <f t="shared" si="38"/>
        <v>3931700</v>
      </c>
      <c r="H99" s="747">
        <f t="shared" si="38"/>
        <v>4334700</v>
      </c>
      <c r="I99" s="791">
        <f t="shared" si="20"/>
        <v>0.22714325504035354</v>
      </c>
    </row>
    <row r="100" spans="1:10" hidden="1">
      <c r="A100" s="324" t="s">
        <v>12</v>
      </c>
      <c r="B100" s="325" t="s">
        <v>13</v>
      </c>
      <c r="C100" s="334" t="s">
        <v>232</v>
      </c>
      <c r="D100" s="334" t="s">
        <v>82</v>
      </c>
      <c r="E100" s="335">
        <v>481310</v>
      </c>
      <c r="F100" s="335">
        <v>591000</v>
      </c>
      <c r="G100" s="335">
        <v>625300</v>
      </c>
      <c r="H100" s="750">
        <v>656500</v>
      </c>
      <c r="I100" s="791">
        <f t="shared" si="20"/>
        <v>0.22789885936298851</v>
      </c>
    </row>
    <row r="101" spans="1:10" hidden="1">
      <c r="A101" s="324" t="s">
        <v>12</v>
      </c>
      <c r="B101" s="325" t="s">
        <v>13</v>
      </c>
      <c r="C101" s="334" t="s">
        <v>232</v>
      </c>
      <c r="D101" s="334" t="s">
        <v>234</v>
      </c>
      <c r="E101" s="335">
        <v>2727423</v>
      </c>
      <c r="F101" s="335">
        <v>3347000</v>
      </c>
      <c r="G101" s="335">
        <v>3543100</v>
      </c>
      <c r="H101" s="750">
        <v>3906200</v>
      </c>
      <c r="I101" s="791">
        <f t="shared" si="20"/>
        <v>0.22716571650235406</v>
      </c>
    </row>
    <row r="102" spans="1:10" hidden="1">
      <c r="A102" s="324" t="s">
        <v>14</v>
      </c>
      <c r="B102" s="325" t="s">
        <v>293</v>
      </c>
      <c r="C102" s="334" t="s">
        <v>232</v>
      </c>
      <c r="D102" s="334" t="s">
        <v>82</v>
      </c>
      <c r="E102" s="335">
        <v>52789</v>
      </c>
      <c r="F102" s="335">
        <v>65000</v>
      </c>
      <c r="G102" s="335">
        <v>68600</v>
      </c>
      <c r="H102" s="750">
        <v>72000</v>
      </c>
      <c r="I102" s="791">
        <f t="shared" si="20"/>
        <v>0.23131713046278582</v>
      </c>
    </row>
    <row r="103" spans="1:10" hidden="1">
      <c r="A103" s="324" t="s">
        <v>14</v>
      </c>
      <c r="B103" s="325" t="s">
        <v>293</v>
      </c>
      <c r="C103" s="334" t="s">
        <v>232</v>
      </c>
      <c r="D103" s="334" t="s">
        <v>234</v>
      </c>
      <c r="E103" s="335">
        <v>299200</v>
      </c>
      <c r="F103" s="335">
        <v>367100</v>
      </c>
      <c r="G103" s="335">
        <v>388600</v>
      </c>
      <c r="H103" s="750">
        <v>428500</v>
      </c>
      <c r="I103" s="791">
        <f t="shared" si="20"/>
        <v>0.22693850267379678</v>
      </c>
    </row>
    <row r="104" spans="1:10">
      <c r="A104" s="612" t="s">
        <v>475</v>
      </c>
      <c r="B104" s="613" t="s">
        <v>476</v>
      </c>
      <c r="C104" s="614" t="s">
        <v>232</v>
      </c>
      <c r="D104" s="616">
        <v>12</v>
      </c>
      <c r="E104" s="615">
        <f>E106+E116+E126+E144+E148</f>
        <v>1855450</v>
      </c>
      <c r="F104" s="615">
        <f>F106+F116+F126+F144+F148</f>
        <v>1655411</v>
      </c>
      <c r="G104" s="615">
        <f t="shared" ref="G104:H105" si="39">G106+G116+G126+G144+G148</f>
        <v>1752719</v>
      </c>
      <c r="H104" s="746">
        <f t="shared" si="39"/>
        <v>1585725</v>
      </c>
      <c r="I104" s="791">
        <f t="shared" si="20"/>
        <v>-0.1078115820959875</v>
      </c>
    </row>
    <row r="105" spans="1:10">
      <c r="A105" s="612" t="s">
        <v>475</v>
      </c>
      <c r="B105" s="613" t="s">
        <v>476</v>
      </c>
      <c r="C105" s="614" t="s">
        <v>232</v>
      </c>
      <c r="D105" s="616">
        <v>563</v>
      </c>
      <c r="E105" s="615">
        <f>E107+E117+E127+E145+E149</f>
        <v>10512350</v>
      </c>
      <c r="F105" s="615">
        <f>F107+F117+F127+F145+F149</f>
        <v>9349510</v>
      </c>
      <c r="G105" s="615">
        <f t="shared" si="39"/>
        <v>9868210</v>
      </c>
      <c r="H105" s="746">
        <f t="shared" si="39"/>
        <v>8921718</v>
      </c>
      <c r="I105" s="791">
        <f t="shared" si="20"/>
        <v>-0.11061656052167212</v>
      </c>
    </row>
    <row r="106" spans="1:10" hidden="1">
      <c r="A106" s="320" t="s">
        <v>16</v>
      </c>
      <c r="B106" s="321" t="s">
        <v>17</v>
      </c>
      <c r="C106" s="334" t="s">
        <v>232</v>
      </c>
      <c r="D106" s="322">
        <v>12</v>
      </c>
      <c r="E106" s="323">
        <f>E108+E110+E112+E114</f>
        <v>227700</v>
      </c>
      <c r="F106" s="323">
        <f>F108+F110+F112+F114</f>
        <v>337338</v>
      </c>
      <c r="G106" s="323">
        <f t="shared" ref="G106:H107" si="40">G108+G110+G112+G114</f>
        <v>356470</v>
      </c>
      <c r="H106" s="747">
        <f t="shared" si="40"/>
        <v>356470</v>
      </c>
      <c r="I106" s="791">
        <f t="shared" si="20"/>
        <v>0.48150197628458496</v>
      </c>
    </row>
    <row r="107" spans="1:10" hidden="1">
      <c r="A107" s="320" t="s">
        <v>16</v>
      </c>
      <c r="B107" s="321" t="s">
        <v>17</v>
      </c>
      <c r="C107" s="334" t="s">
        <v>232</v>
      </c>
      <c r="D107" s="322">
        <v>563</v>
      </c>
      <c r="E107" s="323">
        <f>E109+E111+E113+E115</f>
        <v>1290300</v>
      </c>
      <c r="F107" s="323">
        <f>F109+F111+F113+F115</f>
        <v>1911150</v>
      </c>
      <c r="G107" s="323">
        <f t="shared" si="40"/>
        <v>2019850</v>
      </c>
      <c r="H107" s="747">
        <f t="shared" si="40"/>
        <v>2019850</v>
      </c>
      <c r="I107" s="791">
        <f t="shared" si="20"/>
        <v>0.48116717042548246</v>
      </c>
    </row>
    <row r="108" spans="1:10" hidden="1">
      <c r="A108" s="324" t="s">
        <v>18</v>
      </c>
      <c r="B108" s="325" t="s">
        <v>19</v>
      </c>
      <c r="C108" s="334" t="s">
        <v>232</v>
      </c>
      <c r="D108" s="334" t="s">
        <v>82</v>
      </c>
      <c r="E108" s="335">
        <v>88350</v>
      </c>
      <c r="F108" s="335">
        <v>88350</v>
      </c>
      <c r="G108" s="335">
        <v>105882</v>
      </c>
      <c r="H108" s="750">
        <v>105882</v>
      </c>
      <c r="I108" s="791">
        <f t="shared" si="20"/>
        <v>0</v>
      </c>
    </row>
    <row r="109" spans="1:10" hidden="1">
      <c r="A109" s="324" t="s">
        <v>18</v>
      </c>
      <c r="B109" s="325" t="s">
        <v>19</v>
      </c>
      <c r="C109" s="334" t="s">
        <v>232</v>
      </c>
      <c r="D109" s="334" t="s">
        <v>234</v>
      </c>
      <c r="E109" s="335">
        <v>500650</v>
      </c>
      <c r="F109" s="335">
        <v>500650</v>
      </c>
      <c r="G109" s="335">
        <v>600000</v>
      </c>
      <c r="H109" s="750">
        <v>600000</v>
      </c>
      <c r="I109" s="791">
        <f t="shared" si="20"/>
        <v>0</v>
      </c>
    </row>
    <row r="110" spans="1:10" hidden="1">
      <c r="A110" s="324" t="s">
        <v>20</v>
      </c>
      <c r="B110" s="325" t="s">
        <v>21</v>
      </c>
      <c r="C110" s="334" t="s">
        <v>232</v>
      </c>
      <c r="D110" s="334" t="s">
        <v>82</v>
      </c>
      <c r="E110" s="335">
        <v>90000</v>
      </c>
      <c r="F110" s="335">
        <v>193400</v>
      </c>
      <c r="G110" s="335">
        <v>195000</v>
      </c>
      <c r="H110" s="750">
        <v>195000</v>
      </c>
      <c r="I110" s="791">
        <f t="shared" si="20"/>
        <v>1.1488888888888888</v>
      </c>
    </row>
    <row r="111" spans="1:10" hidden="1">
      <c r="A111" s="324" t="s">
        <v>20</v>
      </c>
      <c r="B111" s="325" t="s">
        <v>21</v>
      </c>
      <c r="C111" s="334" t="s">
        <v>232</v>
      </c>
      <c r="D111" s="334" t="s">
        <v>234</v>
      </c>
      <c r="E111" s="335">
        <v>510000</v>
      </c>
      <c r="F111" s="335">
        <v>1095500</v>
      </c>
      <c r="G111" s="335">
        <f>F111+9350</f>
        <v>1104850</v>
      </c>
      <c r="H111" s="750">
        <v>1104850</v>
      </c>
      <c r="I111" s="791">
        <f t="shared" si="20"/>
        <v>1.1480392156862744</v>
      </c>
    </row>
    <row r="112" spans="1:10" hidden="1">
      <c r="A112" s="324" t="s">
        <v>22</v>
      </c>
      <c r="B112" s="325" t="s">
        <v>23</v>
      </c>
      <c r="C112" s="334" t="s">
        <v>232</v>
      </c>
      <c r="D112" s="334" t="s">
        <v>82</v>
      </c>
      <c r="E112" s="335">
        <v>49350</v>
      </c>
      <c r="F112" s="335">
        <v>52941</v>
      </c>
      <c r="G112" s="335">
        <v>52941</v>
      </c>
      <c r="H112" s="750">
        <v>52941</v>
      </c>
      <c r="I112" s="791">
        <f t="shared" si="20"/>
        <v>7.2765957446808513E-2</v>
      </c>
    </row>
    <row r="113" spans="1:12" hidden="1">
      <c r="A113" s="324" t="s">
        <v>22</v>
      </c>
      <c r="B113" s="325" t="s">
        <v>23</v>
      </c>
      <c r="C113" s="334" t="s">
        <v>232</v>
      </c>
      <c r="D113" s="334" t="s">
        <v>234</v>
      </c>
      <c r="E113" s="335">
        <v>279650</v>
      </c>
      <c r="F113" s="335">
        <v>300000</v>
      </c>
      <c r="G113" s="335">
        <v>300000</v>
      </c>
      <c r="H113" s="750">
        <v>300000</v>
      </c>
      <c r="I113" s="791">
        <f t="shared" ref="I113:I176" si="41">(F113-E113)/E113</f>
        <v>7.276953334525299E-2</v>
      </c>
    </row>
    <row r="114" spans="1:12" hidden="1">
      <c r="A114" s="324">
        <v>3214</v>
      </c>
      <c r="B114" s="325" t="s">
        <v>162</v>
      </c>
      <c r="C114" s="334" t="s">
        <v>232</v>
      </c>
      <c r="D114" s="334" t="s">
        <v>82</v>
      </c>
      <c r="E114" s="335"/>
      <c r="F114" s="335">
        <v>2647</v>
      </c>
      <c r="G114" s="335">
        <v>2647</v>
      </c>
      <c r="H114" s="750">
        <v>2647</v>
      </c>
      <c r="I114" s="791" t="e">
        <f t="shared" si="41"/>
        <v>#DIV/0!</v>
      </c>
    </row>
    <row r="115" spans="1:12" hidden="1">
      <c r="A115" s="324">
        <v>3214</v>
      </c>
      <c r="B115" s="325" t="s">
        <v>162</v>
      </c>
      <c r="C115" s="334" t="s">
        <v>232</v>
      </c>
      <c r="D115" s="334" t="s">
        <v>234</v>
      </c>
      <c r="E115" s="335"/>
      <c r="F115" s="335">
        <v>15000</v>
      </c>
      <c r="G115" s="335">
        <v>15000</v>
      </c>
      <c r="H115" s="750">
        <v>15000</v>
      </c>
      <c r="I115" s="791" t="e">
        <f t="shared" si="41"/>
        <v>#DIV/0!</v>
      </c>
    </row>
    <row r="116" spans="1:12" hidden="1">
      <c r="A116" s="320" t="s">
        <v>24</v>
      </c>
      <c r="B116" s="321" t="s">
        <v>25</v>
      </c>
      <c r="C116" s="334" t="s">
        <v>232</v>
      </c>
      <c r="D116" s="322" t="s">
        <v>82</v>
      </c>
      <c r="E116" s="323">
        <f>E118+E120+E124+E122</f>
        <v>75550</v>
      </c>
      <c r="F116" s="323">
        <f>F118+F120+F124+F122</f>
        <v>150340</v>
      </c>
      <c r="G116" s="323">
        <f t="shared" ref="G116:H117" si="42">G118+G120+G124+G122</f>
        <v>150340</v>
      </c>
      <c r="H116" s="747">
        <f t="shared" si="42"/>
        <v>159817</v>
      </c>
      <c r="I116" s="791">
        <f t="shared" si="41"/>
        <v>0.98994043679682331</v>
      </c>
    </row>
    <row r="117" spans="1:12" hidden="1">
      <c r="A117" s="320" t="s">
        <v>24</v>
      </c>
      <c r="B117" s="321" t="s">
        <v>25</v>
      </c>
      <c r="C117" s="334" t="s">
        <v>232</v>
      </c>
      <c r="D117" s="322" t="s">
        <v>234</v>
      </c>
      <c r="E117" s="323">
        <f>E119+E121+E125+E123</f>
        <v>426950</v>
      </c>
      <c r="F117" s="323">
        <f>F119+F121+F125+F123</f>
        <v>787910</v>
      </c>
      <c r="G117" s="323">
        <f t="shared" si="42"/>
        <v>787910</v>
      </c>
      <c r="H117" s="747">
        <f t="shared" si="42"/>
        <v>841418</v>
      </c>
      <c r="I117" s="791">
        <f t="shared" si="41"/>
        <v>0.84543857594566107</v>
      </c>
    </row>
    <row r="118" spans="1:12" hidden="1">
      <c r="A118" s="324" t="s">
        <v>26</v>
      </c>
      <c r="B118" s="325" t="s">
        <v>27</v>
      </c>
      <c r="C118" s="334" t="s">
        <v>232</v>
      </c>
      <c r="D118" s="334" t="s">
        <v>82</v>
      </c>
      <c r="E118" s="335">
        <v>24300</v>
      </c>
      <c r="F118" s="335">
        <v>31590</v>
      </c>
      <c r="G118" s="335">
        <v>31590</v>
      </c>
      <c r="H118" s="750">
        <v>41067</v>
      </c>
      <c r="I118" s="791">
        <f t="shared" si="41"/>
        <v>0.3</v>
      </c>
    </row>
    <row r="119" spans="1:12" hidden="1">
      <c r="A119" s="324" t="s">
        <v>26</v>
      </c>
      <c r="B119" s="325" t="s">
        <v>27</v>
      </c>
      <c r="C119" s="334" t="s">
        <v>232</v>
      </c>
      <c r="D119" s="334" t="s">
        <v>234</v>
      </c>
      <c r="E119" s="335">
        <v>137200</v>
      </c>
      <c r="F119" s="335">
        <v>178360</v>
      </c>
      <c r="G119" s="335">
        <v>178360</v>
      </c>
      <c r="H119" s="750">
        <v>231868</v>
      </c>
      <c r="I119" s="791">
        <f t="shared" si="41"/>
        <v>0.3</v>
      </c>
    </row>
    <row r="120" spans="1:12" hidden="1">
      <c r="A120" s="324" t="s">
        <v>28</v>
      </c>
      <c r="B120" s="330" t="s">
        <v>29</v>
      </c>
      <c r="C120" s="334" t="s">
        <v>232</v>
      </c>
      <c r="D120" s="334" t="s">
        <v>82</v>
      </c>
      <c r="E120" s="335">
        <v>43800</v>
      </c>
      <c r="F120" s="335">
        <v>92300</v>
      </c>
      <c r="G120" s="335">
        <v>92300</v>
      </c>
      <c r="H120" s="750">
        <v>92300</v>
      </c>
      <c r="I120" s="791">
        <f t="shared" si="41"/>
        <v>1.1073059360730593</v>
      </c>
      <c r="L120" s="463"/>
    </row>
    <row r="121" spans="1:12" hidden="1">
      <c r="A121" s="324" t="s">
        <v>28</v>
      </c>
      <c r="B121" s="330" t="s">
        <v>29</v>
      </c>
      <c r="C121" s="334" t="s">
        <v>232</v>
      </c>
      <c r="D121" s="334" t="s">
        <v>234</v>
      </c>
      <c r="E121" s="335">
        <v>248000</v>
      </c>
      <c r="F121" s="335">
        <v>523000</v>
      </c>
      <c r="G121" s="335">
        <v>523000</v>
      </c>
      <c r="H121" s="750">
        <v>523000</v>
      </c>
      <c r="I121" s="791">
        <f t="shared" si="41"/>
        <v>1.1088709677419355</v>
      </c>
    </row>
    <row r="122" spans="1:12" hidden="1">
      <c r="A122" s="324">
        <v>3224</v>
      </c>
      <c r="B122" s="330" t="s">
        <v>31</v>
      </c>
      <c r="C122" s="334" t="s">
        <v>232</v>
      </c>
      <c r="D122" s="334" t="s">
        <v>82</v>
      </c>
      <c r="E122" s="335">
        <v>1000</v>
      </c>
      <c r="F122" s="335">
        <v>20000</v>
      </c>
      <c r="G122" s="335">
        <v>20000</v>
      </c>
      <c r="H122" s="750">
        <v>20000</v>
      </c>
      <c r="I122" s="791">
        <f t="shared" si="41"/>
        <v>19</v>
      </c>
    </row>
    <row r="123" spans="1:12" hidden="1">
      <c r="A123" s="324">
        <v>3224</v>
      </c>
      <c r="B123" s="330" t="s">
        <v>31</v>
      </c>
      <c r="C123" s="334" t="s">
        <v>232</v>
      </c>
      <c r="D123" s="334" t="s">
        <v>234</v>
      </c>
      <c r="E123" s="335">
        <v>5200</v>
      </c>
      <c r="F123" s="335">
        <v>50000</v>
      </c>
      <c r="G123" s="335">
        <v>50000</v>
      </c>
      <c r="H123" s="750">
        <v>50000</v>
      </c>
      <c r="I123" s="791">
        <f t="shared" si="41"/>
        <v>8.615384615384615</v>
      </c>
    </row>
    <row r="124" spans="1:12" hidden="1">
      <c r="A124" s="324">
        <v>3227</v>
      </c>
      <c r="B124" s="325" t="s">
        <v>359</v>
      </c>
      <c r="C124" s="334" t="s">
        <v>232</v>
      </c>
      <c r="D124" s="334" t="s">
        <v>82</v>
      </c>
      <c r="E124" s="335">
        <v>6450</v>
      </c>
      <c r="F124" s="335">
        <v>6450</v>
      </c>
      <c r="G124" s="335">
        <v>6450</v>
      </c>
      <c r="H124" s="750">
        <v>6450</v>
      </c>
      <c r="I124" s="791">
        <f t="shared" si="41"/>
        <v>0</v>
      </c>
    </row>
    <row r="125" spans="1:12" hidden="1">
      <c r="A125" s="324">
        <v>3227</v>
      </c>
      <c r="B125" s="325" t="s">
        <v>359</v>
      </c>
      <c r="C125" s="334" t="s">
        <v>232</v>
      </c>
      <c r="D125" s="334" t="s">
        <v>234</v>
      </c>
      <c r="E125" s="335">
        <v>36550</v>
      </c>
      <c r="F125" s="335">
        <v>36550</v>
      </c>
      <c r="G125" s="335">
        <v>36550</v>
      </c>
      <c r="H125" s="750">
        <v>36550</v>
      </c>
      <c r="I125" s="791">
        <f t="shared" si="41"/>
        <v>0</v>
      </c>
    </row>
    <row r="126" spans="1:12" hidden="1">
      <c r="A126" s="320" t="s">
        <v>34</v>
      </c>
      <c r="B126" s="321" t="s">
        <v>35</v>
      </c>
      <c r="C126" s="322" t="s">
        <v>232</v>
      </c>
      <c r="D126" s="322" t="s">
        <v>82</v>
      </c>
      <c r="E126" s="323">
        <f>E128+E130+E132+E134+E136+E138+E140+E142</f>
        <v>1523250</v>
      </c>
      <c r="F126" s="323">
        <f>F128+F130+F132+F134+F136+F138+F140+F142</f>
        <v>1138783</v>
      </c>
      <c r="G126" s="323">
        <f t="shared" ref="G126:H127" si="43">G128+G130+G132+G134+G136+G138+G140+G142</f>
        <v>1216959</v>
      </c>
      <c r="H126" s="747">
        <f t="shared" si="43"/>
        <v>1040488</v>
      </c>
      <c r="I126" s="791">
        <f t="shared" si="41"/>
        <v>-0.2523991465616281</v>
      </c>
    </row>
    <row r="127" spans="1:12" hidden="1">
      <c r="A127" s="320" t="s">
        <v>34</v>
      </c>
      <c r="B127" s="321" t="s">
        <v>35</v>
      </c>
      <c r="C127" s="322" t="s">
        <v>232</v>
      </c>
      <c r="D127" s="322" t="s">
        <v>234</v>
      </c>
      <c r="E127" s="323">
        <f>E129+E131+E133+E135+E137+E139+E141+E143</f>
        <v>8631050</v>
      </c>
      <c r="F127" s="323">
        <f>F129+F131+F133+F135+F137+F139+F141+F143</f>
        <v>6486400</v>
      </c>
      <c r="G127" s="323">
        <f t="shared" si="43"/>
        <v>6896400</v>
      </c>
      <c r="H127" s="747">
        <f t="shared" si="43"/>
        <v>5896400</v>
      </c>
      <c r="I127" s="791">
        <f t="shared" si="41"/>
        <v>-0.2484807758036392</v>
      </c>
    </row>
    <row r="128" spans="1:12" hidden="1">
      <c r="A128" s="324" t="s">
        <v>36</v>
      </c>
      <c r="B128" s="325" t="s">
        <v>37</v>
      </c>
      <c r="C128" s="334" t="s">
        <v>232</v>
      </c>
      <c r="D128" s="334" t="s">
        <v>82</v>
      </c>
      <c r="E128" s="335">
        <v>53800</v>
      </c>
      <c r="F128" s="335">
        <v>42600</v>
      </c>
      <c r="G128" s="335">
        <v>42600</v>
      </c>
      <c r="H128" s="750">
        <v>42600</v>
      </c>
      <c r="I128" s="791">
        <f t="shared" si="41"/>
        <v>-0.20817843866171004</v>
      </c>
    </row>
    <row r="129" spans="1:10" hidden="1">
      <c r="A129" s="324" t="s">
        <v>36</v>
      </c>
      <c r="B129" s="325" t="s">
        <v>37</v>
      </c>
      <c r="C129" s="334" t="s">
        <v>232</v>
      </c>
      <c r="D129" s="334" t="s">
        <v>234</v>
      </c>
      <c r="E129" s="335">
        <v>304500</v>
      </c>
      <c r="F129" s="335">
        <v>241400</v>
      </c>
      <c r="G129" s="335">
        <v>241400</v>
      </c>
      <c r="H129" s="750">
        <v>241400</v>
      </c>
      <c r="I129" s="791">
        <f t="shared" si="41"/>
        <v>-0.20722495894909687</v>
      </c>
    </row>
    <row r="130" spans="1:10" hidden="1">
      <c r="A130" s="324" t="s">
        <v>38</v>
      </c>
      <c r="B130" s="325" t="s">
        <v>39</v>
      </c>
      <c r="C130" s="334" t="s">
        <v>232</v>
      </c>
      <c r="D130" s="334" t="s">
        <v>82</v>
      </c>
      <c r="E130" s="335">
        <v>60400</v>
      </c>
      <c r="F130" s="335">
        <v>75000</v>
      </c>
      <c r="G130" s="335">
        <v>75000</v>
      </c>
      <c r="H130" s="750">
        <v>75000</v>
      </c>
      <c r="I130" s="791">
        <f t="shared" si="41"/>
        <v>0.24172185430463577</v>
      </c>
    </row>
    <row r="131" spans="1:10" hidden="1">
      <c r="A131" s="324" t="s">
        <v>38</v>
      </c>
      <c r="B131" s="325" t="s">
        <v>39</v>
      </c>
      <c r="C131" s="334" t="s">
        <v>232</v>
      </c>
      <c r="D131" s="334" t="s">
        <v>234</v>
      </c>
      <c r="E131" s="335">
        <v>343000</v>
      </c>
      <c r="F131" s="335">
        <v>425000</v>
      </c>
      <c r="G131" s="335">
        <v>425000</v>
      </c>
      <c r="H131" s="750">
        <v>425000</v>
      </c>
      <c r="I131" s="791">
        <f t="shared" si="41"/>
        <v>0.239067055393586</v>
      </c>
    </row>
    <row r="132" spans="1:10" hidden="1">
      <c r="A132" s="324" t="s">
        <v>40</v>
      </c>
      <c r="B132" s="325" t="s">
        <v>41</v>
      </c>
      <c r="C132" s="334" t="s">
        <v>232</v>
      </c>
      <c r="D132" s="334" t="s">
        <v>82</v>
      </c>
      <c r="E132" s="335">
        <v>300000</v>
      </c>
      <c r="F132" s="335">
        <v>379412</v>
      </c>
      <c r="G132" s="335">
        <v>379412</v>
      </c>
      <c r="H132" s="750">
        <v>379412</v>
      </c>
      <c r="I132" s="791">
        <f t="shared" si="41"/>
        <v>0.26470666666666665</v>
      </c>
      <c r="J132" s="22"/>
    </row>
    <row r="133" spans="1:10" hidden="1">
      <c r="A133" s="324" t="s">
        <v>40</v>
      </c>
      <c r="B133" s="325" t="s">
        <v>41</v>
      </c>
      <c r="C133" s="334" t="s">
        <v>232</v>
      </c>
      <c r="D133" s="334" t="s">
        <v>234</v>
      </c>
      <c r="E133" s="335">
        <v>1700000</v>
      </c>
      <c r="F133" s="335">
        <v>2150000</v>
      </c>
      <c r="G133" s="335">
        <v>2150000</v>
      </c>
      <c r="H133" s="750">
        <v>2150000</v>
      </c>
      <c r="I133" s="791">
        <f t="shared" si="41"/>
        <v>0.26470588235294118</v>
      </c>
    </row>
    <row r="134" spans="1:10" hidden="1">
      <c r="A134" s="324" t="s">
        <v>42</v>
      </c>
      <c r="B134" s="325" t="s">
        <v>43</v>
      </c>
      <c r="C134" s="334" t="s">
        <v>232</v>
      </c>
      <c r="D134" s="334" t="s">
        <v>82</v>
      </c>
      <c r="E134" s="335">
        <v>52900</v>
      </c>
      <c r="F134" s="335">
        <v>72300</v>
      </c>
      <c r="G134" s="335">
        <v>72300</v>
      </c>
      <c r="H134" s="750">
        <v>72300</v>
      </c>
      <c r="I134" s="791">
        <f t="shared" si="41"/>
        <v>0.3667296786389414</v>
      </c>
    </row>
    <row r="135" spans="1:10" hidden="1">
      <c r="A135" s="324" t="s">
        <v>42</v>
      </c>
      <c r="B135" s="325" t="s">
        <v>43</v>
      </c>
      <c r="C135" s="334" t="s">
        <v>232</v>
      </c>
      <c r="D135" s="334" t="s">
        <v>234</v>
      </c>
      <c r="E135" s="335">
        <v>299300</v>
      </c>
      <c r="F135" s="335">
        <v>410000</v>
      </c>
      <c r="G135" s="335">
        <v>410000</v>
      </c>
      <c r="H135" s="750">
        <v>410000</v>
      </c>
      <c r="I135" s="791">
        <f t="shared" si="41"/>
        <v>0.36986301369863012</v>
      </c>
    </row>
    <row r="136" spans="1:10" hidden="1">
      <c r="A136" s="324" t="s">
        <v>44</v>
      </c>
      <c r="B136" s="325" t="s">
        <v>45</v>
      </c>
      <c r="C136" s="334" t="s">
        <v>232</v>
      </c>
      <c r="D136" s="334" t="s">
        <v>82</v>
      </c>
      <c r="E136" s="335">
        <v>320200</v>
      </c>
      <c r="F136" s="335">
        <v>88235</v>
      </c>
      <c r="G136" s="335">
        <v>88235</v>
      </c>
      <c r="H136" s="750">
        <v>88235</v>
      </c>
      <c r="I136" s="791">
        <f t="shared" si="41"/>
        <v>-0.72443785134291072</v>
      </c>
    </row>
    <row r="137" spans="1:10" hidden="1">
      <c r="A137" s="324" t="s">
        <v>44</v>
      </c>
      <c r="B137" s="325" t="s">
        <v>45</v>
      </c>
      <c r="C137" s="334" t="s">
        <v>232</v>
      </c>
      <c r="D137" s="334" t="s">
        <v>234</v>
      </c>
      <c r="E137" s="335">
        <v>1814000</v>
      </c>
      <c r="F137" s="335">
        <v>500000</v>
      </c>
      <c r="G137" s="335">
        <v>500000</v>
      </c>
      <c r="H137" s="750">
        <v>500000</v>
      </c>
      <c r="I137" s="791">
        <f t="shared" si="41"/>
        <v>-0.72436604189636167</v>
      </c>
    </row>
    <row r="138" spans="1:10" hidden="1">
      <c r="A138" s="324" t="s">
        <v>48</v>
      </c>
      <c r="B138" s="325" t="s">
        <v>49</v>
      </c>
      <c r="C138" s="334" t="s">
        <v>232</v>
      </c>
      <c r="D138" s="334" t="s">
        <v>82</v>
      </c>
      <c r="E138" s="335">
        <v>705900</v>
      </c>
      <c r="F138" s="335">
        <v>441177</v>
      </c>
      <c r="G138" s="335">
        <v>529412</v>
      </c>
      <c r="H138" s="750">
        <v>352941</v>
      </c>
      <c r="I138" s="791">
        <f t="shared" si="41"/>
        <v>-0.37501487462813432</v>
      </c>
    </row>
    <row r="139" spans="1:10" hidden="1">
      <c r="A139" s="324" t="s">
        <v>48</v>
      </c>
      <c r="B139" s="325" t="s">
        <v>49</v>
      </c>
      <c r="C139" s="334" t="s">
        <v>232</v>
      </c>
      <c r="D139" s="334" t="s">
        <v>234</v>
      </c>
      <c r="E139" s="335">
        <v>4000100</v>
      </c>
      <c r="F139" s="335">
        <v>2500000</v>
      </c>
      <c r="G139" s="335">
        <v>3000000</v>
      </c>
      <c r="H139" s="750">
        <v>2000000</v>
      </c>
      <c r="I139" s="791">
        <f t="shared" si="41"/>
        <v>-0.37501562460938476</v>
      </c>
    </row>
    <row r="140" spans="1:10" hidden="1">
      <c r="A140" s="324" t="s">
        <v>50</v>
      </c>
      <c r="B140" s="325" t="s">
        <v>51</v>
      </c>
      <c r="C140" s="334" t="s">
        <v>232</v>
      </c>
      <c r="D140" s="334" t="s">
        <v>82</v>
      </c>
      <c r="E140" s="335">
        <v>7950</v>
      </c>
      <c r="F140" s="335">
        <v>7059</v>
      </c>
      <c r="G140" s="335">
        <v>7059</v>
      </c>
      <c r="H140" s="750">
        <v>7059</v>
      </c>
      <c r="I140" s="791">
        <f t="shared" si="41"/>
        <v>-0.1120754716981132</v>
      </c>
    </row>
    <row r="141" spans="1:10" hidden="1">
      <c r="A141" s="324" t="s">
        <v>50</v>
      </c>
      <c r="B141" s="325" t="s">
        <v>51</v>
      </c>
      <c r="C141" s="334" t="s">
        <v>232</v>
      </c>
      <c r="D141" s="334" t="s">
        <v>234</v>
      </c>
      <c r="E141" s="335">
        <v>45050</v>
      </c>
      <c r="F141" s="335">
        <v>40000</v>
      </c>
      <c r="G141" s="335">
        <v>40000</v>
      </c>
      <c r="H141" s="750">
        <v>40000</v>
      </c>
      <c r="I141" s="791">
        <f t="shared" si="41"/>
        <v>-0.1120976692563818</v>
      </c>
    </row>
    <row r="142" spans="1:10" hidden="1">
      <c r="A142" s="324" t="s">
        <v>52</v>
      </c>
      <c r="B142" s="325" t="s">
        <v>53</v>
      </c>
      <c r="C142" s="334" t="s">
        <v>232</v>
      </c>
      <c r="D142" s="334" t="s">
        <v>82</v>
      </c>
      <c r="E142" s="335">
        <v>22100</v>
      </c>
      <c r="F142" s="335">
        <v>33000</v>
      </c>
      <c r="G142" s="335">
        <v>22941</v>
      </c>
      <c r="H142" s="750">
        <v>22941</v>
      </c>
      <c r="I142" s="791">
        <f t="shared" si="41"/>
        <v>0.49321266968325794</v>
      </c>
    </row>
    <row r="143" spans="1:10" hidden="1">
      <c r="A143" s="324" t="s">
        <v>52</v>
      </c>
      <c r="B143" s="325" t="s">
        <v>53</v>
      </c>
      <c r="C143" s="334" t="s">
        <v>232</v>
      </c>
      <c r="D143" s="334" t="s">
        <v>234</v>
      </c>
      <c r="E143" s="335">
        <v>125100</v>
      </c>
      <c r="F143" s="335">
        <v>220000</v>
      </c>
      <c r="G143" s="335">
        <v>130000</v>
      </c>
      <c r="H143" s="750">
        <v>130000</v>
      </c>
      <c r="I143" s="791">
        <f t="shared" si="41"/>
        <v>0.75859312549960034</v>
      </c>
    </row>
    <row r="144" spans="1:10" hidden="1">
      <c r="A144" s="332" t="s">
        <v>54</v>
      </c>
      <c r="B144" s="321" t="s">
        <v>55</v>
      </c>
      <c r="C144" s="322" t="s">
        <v>232</v>
      </c>
      <c r="D144" s="322" t="s">
        <v>82</v>
      </c>
      <c r="E144" s="323">
        <f>E146</f>
        <v>0</v>
      </c>
      <c r="F144" s="323">
        <f>F146</f>
        <v>0</v>
      </c>
      <c r="G144" s="323">
        <f t="shared" ref="G144:H145" si="44">G146</f>
        <v>0</v>
      </c>
      <c r="H144" s="747">
        <f t="shared" si="44"/>
        <v>0</v>
      </c>
      <c r="I144" s="791" t="e">
        <f t="shared" si="41"/>
        <v>#DIV/0!</v>
      </c>
    </row>
    <row r="145" spans="1:9" hidden="1">
      <c r="A145" s="332">
        <v>324</v>
      </c>
      <c r="B145" s="321" t="s">
        <v>55</v>
      </c>
      <c r="C145" s="322" t="s">
        <v>232</v>
      </c>
      <c r="D145" s="322" t="s">
        <v>234</v>
      </c>
      <c r="E145" s="323">
        <f>E147</f>
        <v>0</v>
      </c>
      <c r="F145" s="323">
        <f>F147</f>
        <v>0</v>
      </c>
      <c r="G145" s="323">
        <f t="shared" si="44"/>
        <v>0</v>
      </c>
      <c r="H145" s="747">
        <f t="shared" si="44"/>
        <v>0</v>
      </c>
      <c r="I145" s="791" t="e">
        <f t="shared" si="41"/>
        <v>#DIV/0!</v>
      </c>
    </row>
    <row r="146" spans="1:9" hidden="1">
      <c r="A146" s="324" t="s">
        <v>56</v>
      </c>
      <c r="B146" s="325" t="s">
        <v>55</v>
      </c>
      <c r="C146" s="334" t="s">
        <v>232</v>
      </c>
      <c r="D146" s="334" t="s">
        <v>82</v>
      </c>
      <c r="E146" s="335"/>
      <c r="F146" s="335"/>
      <c r="G146" s="335"/>
      <c r="H146" s="750"/>
      <c r="I146" s="791" t="e">
        <f t="shared" si="41"/>
        <v>#DIV/0!</v>
      </c>
    </row>
    <row r="147" spans="1:9" hidden="1">
      <c r="A147" s="324">
        <v>3241</v>
      </c>
      <c r="B147" s="325" t="s">
        <v>55</v>
      </c>
      <c r="C147" s="334" t="s">
        <v>232</v>
      </c>
      <c r="D147" s="334" t="s">
        <v>234</v>
      </c>
      <c r="E147" s="335"/>
      <c r="F147" s="335"/>
      <c r="G147" s="335"/>
      <c r="H147" s="750"/>
      <c r="I147" s="791" t="e">
        <f t="shared" si="41"/>
        <v>#DIV/0!</v>
      </c>
    </row>
    <row r="148" spans="1:9" hidden="1">
      <c r="A148" s="332" t="s">
        <v>57</v>
      </c>
      <c r="B148" s="321" t="s">
        <v>58</v>
      </c>
      <c r="C148" s="322" t="s">
        <v>232</v>
      </c>
      <c r="D148" s="322" t="s">
        <v>82</v>
      </c>
      <c r="E148" s="323">
        <f>E150+E152</f>
        <v>28950</v>
      </c>
      <c r="F148" s="323">
        <f>F150+F152</f>
        <v>28950</v>
      </c>
      <c r="G148" s="323">
        <f t="shared" ref="G148:H149" si="45">G150+G152</f>
        <v>28950</v>
      </c>
      <c r="H148" s="747">
        <f t="shared" si="45"/>
        <v>28950</v>
      </c>
      <c r="I148" s="791">
        <f t="shared" si="41"/>
        <v>0</v>
      </c>
    </row>
    <row r="149" spans="1:9" hidden="1">
      <c r="A149" s="332" t="s">
        <v>57</v>
      </c>
      <c r="B149" s="321" t="s">
        <v>58</v>
      </c>
      <c r="C149" s="322" t="s">
        <v>232</v>
      </c>
      <c r="D149" s="322" t="s">
        <v>234</v>
      </c>
      <c r="E149" s="323">
        <f>E151+E153</f>
        <v>164050</v>
      </c>
      <c r="F149" s="323">
        <f>F151+F153</f>
        <v>164050</v>
      </c>
      <c r="G149" s="323">
        <f t="shared" si="45"/>
        <v>164050</v>
      </c>
      <c r="H149" s="747">
        <f>H151+H153</f>
        <v>164050</v>
      </c>
      <c r="I149" s="791">
        <f t="shared" si="41"/>
        <v>0</v>
      </c>
    </row>
    <row r="150" spans="1:9" hidden="1">
      <c r="A150" s="324" t="s">
        <v>63</v>
      </c>
      <c r="B150" s="325" t="s">
        <v>64</v>
      </c>
      <c r="C150" s="334" t="s">
        <v>232</v>
      </c>
      <c r="D150" s="334" t="s">
        <v>82</v>
      </c>
      <c r="E150" s="335">
        <v>28950</v>
      </c>
      <c r="F150" s="335">
        <v>28950</v>
      </c>
      <c r="G150" s="335">
        <v>28950</v>
      </c>
      <c r="H150" s="335">
        <v>28950</v>
      </c>
      <c r="I150" s="791">
        <f t="shared" si="41"/>
        <v>0</v>
      </c>
    </row>
    <row r="151" spans="1:9" hidden="1">
      <c r="A151" s="324" t="s">
        <v>63</v>
      </c>
      <c r="B151" s="325" t="s">
        <v>64</v>
      </c>
      <c r="C151" s="334" t="s">
        <v>232</v>
      </c>
      <c r="D151" s="334" t="s">
        <v>234</v>
      </c>
      <c r="E151" s="335">
        <v>164050</v>
      </c>
      <c r="F151" s="335">
        <v>164050</v>
      </c>
      <c r="G151" s="335">
        <v>164050</v>
      </c>
      <c r="H151" s="335">
        <v>164050</v>
      </c>
      <c r="I151" s="791">
        <f t="shared" si="41"/>
        <v>0</v>
      </c>
    </row>
    <row r="152" spans="1:9" hidden="1">
      <c r="A152" s="324">
        <v>3294</v>
      </c>
      <c r="B152" s="325" t="s">
        <v>360</v>
      </c>
      <c r="C152" s="334" t="s">
        <v>232</v>
      </c>
      <c r="D152" s="334" t="s">
        <v>82</v>
      </c>
      <c r="E152" s="335"/>
      <c r="F152" s="335"/>
      <c r="G152" s="335"/>
      <c r="H152" s="750"/>
      <c r="I152" s="791" t="e">
        <f t="shared" si="41"/>
        <v>#DIV/0!</v>
      </c>
    </row>
    <row r="153" spans="1:9" hidden="1">
      <c r="A153" s="324">
        <v>3294</v>
      </c>
      <c r="B153" s="325" t="s">
        <v>360</v>
      </c>
      <c r="C153" s="334" t="s">
        <v>232</v>
      </c>
      <c r="D153" s="334" t="s">
        <v>234</v>
      </c>
      <c r="E153" s="335"/>
      <c r="F153" s="335"/>
      <c r="G153" s="335"/>
      <c r="H153" s="750"/>
      <c r="I153" s="791" t="e">
        <f t="shared" si="41"/>
        <v>#DIV/0!</v>
      </c>
    </row>
    <row r="154" spans="1:9">
      <c r="A154" s="612" t="s">
        <v>485</v>
      </c>
      <c r="B154" s="613" t="s">
        <v>484</v>
      </c>
      <c r="C154" s="614" t="s">
        <v>232</v>
      </c>
      <c r="D154" s="616">
        <v>12</v>
      </c>
      <c r="E154" s="615">
        <f t="shared" ref="E154:E157" si="46">E156</f>
        <v>15000</v>
      </c>
      <c r="F154" s="615">
        <f>F156</f>
        <v>15000</v>
      </c>
      <c r="G154" s="615">
        <f t="shared" ref="G154:H157" si="47">G156</f>
        <v>15000</v>
      </c>
      <c r="H154" s="746">
        <f t="shared" si="47"/>
        <v>15000</v>
      </c>
      <c r="I154" s="791">
        <f t="shared" si="41"/>
        <v>0</v>
      </c>
    </row>
    <row r="155" spans="1:9">
      <c r="A155" s="612" t="s">
        <v>485</v>
      </c>
      <c r="B155" s="613" t="s">
        <v>484</v>
      </c>
      <c r="C155" s="614" t="s">
        <v>232</v>
      </c>
      <c r="D155" s="616">
        <v>563</v>
      </c>
      <c r="E155" s="615">
        <f t="shared" si="46"/>
        <v>85000</v>
      </c>
      <c r="F155" s="615">
        <f>F157</f>
        <v>85000</v>
      </c>
      <c r="G155" s="615">
        <f t="shared" si="47"/>
        <v>85000</v>
      </c>
      <c r="H155" s="746">
        <f t="shared" si="47"/>
        <v>85000</v>
      </c>
      <c r="I155" s="791">
        <f t="shared" si="41"/>
        <v>0</v>
      </c>
    </row>
    <row r="156" spans="1:9" hidden="1">
      <c r="A156" s="320" t="s">
        <v>173</v>
      </c>
      <c r="B156" s="321" t="s">
        <v>357</v>
      </c>
      <c r="C156" s="334" t="s">
        <v>232</v>
      </c>
      <c r="D156" s="322">
        <v>12</v>
      </c>
      <c r="E156" s="323">
        <f t="shared" si="46"/>
        <v>15000</v>
      </c>
      <c r="F156" s="323">
        <f>F158</f>
        <v>15000</v>
      </c>
      <c r="G156" s="323">
        <f t="shared" si="47"/>
        <v>15000</v>
      </c>
      <c r="H156" s="747">
        <f t="shared" si="47"/>
        <v>15000</v>
      </c>
      <c r="I156" s="791">
        <f t="shared" si="41"/>
        <v>0</v>
      </c>
    </row>
    <row r="157" spans="1:9" hidden="1">
      <c r="A157" s="320" t="s">
        <v>173</v>
      </c>
      <c r="B157" s="321" t="s">
        <v>357</v>
      </c>
      <c r="C157" s="334" t="s">
        <v>232</v>
      </c>
      <c r="D157" s="322">
        <v>563</v>
      </c>
      <c r="E157" s="323">
        <f t="shared" si="46"/>
        <v>85000</v>
      </c>
      <c r="F157" s="323">
        <f>F159</f>
        <v>85000</v>
      </c>
      <c r="G157" s="323">
        <f t="shared" si="47"/>
        <v>85000</v>
      </c>
      <c r="H157" s="747">
        <f t="shared" si="47"/>
        <v>85000</v>
      </c>
      <c r="I157" s="791">
        <f t="shared" si="41"/>
        <v>0</v>
      </c>
    </row>
    <row r="158" spans="1:9" hidden="1">
      <c r="A158" s="336" t="s">
        <v>174</v>
      </c>
      <c r="B158" s="337" t="s">
        <v>175</v>
      </c>
      <c r="C158" s="334" t="s">
        <v>232</v>
      </c>
      <c r="D158" s="334" t="s">
        <v>82</v>
      </c>
      <c r="E158" s="335">
        <v>15000</v>
      </c>
      <c r="F158" s="335">
        <v>15000</v>
      </c>
      <c r="G158" s="335">
        <v>15000</v>
      </c>
      <c r="H158" s="750">
        <v>15000</v>
      </c>
      <c r="I158" s="791">
        <f t="shared" si="41"/>
        <v>0</v>
      </c>
    </row>
    <row r="159" spans="1:9" hidden="1">
      <c r="A159" s="336" t="s">
        <v>515</v>
      </c>
      <c r="B159" s="337" t="s">
        <v>175</v>
      </c>
      <c r="C159" s="334" t="s">
        <v>232</v>
      </c>
      <c r="D159" s="334" t="s">
        <v>234</v>
      </c>
      <c r="E159" s="335">
        <v>85000</v>
      </c>
      <c r="F159" s="335">
        <v>85000</v>
      </c>
      <c r="G159" s="335">
        <v>85000</v>
      </c>
      <c r="H159" s="750">
        <v>85000</v>
      </c>
      <c r="I159" s="791">
        <f t="shared" si="41"/>
        <v>0</v>
      </c>
    </row>
    <row r="160" spans="1:9">
      <c r="A160" s="619" t="s">
        <v>449</v>
      </c>
      <c r="B160" s="620" t="s">
        <v>479</v>
      </c>
      <c r="C160" s="614" t="s">
        <v>232</v>
      </c>
      <c r="D160" s="614" t="s">
        <v>82</v>
      </c>
      <c r="E160" s="615">
        <f t="shared" ref="E160:E163" si="48">E162</f>
        <v>25500</v>
      </c>
      <c r="F160" s="615">
        <f>F162</f>
        <v>40000</v>
      </c>
      <c r="G160" s="615">
        <f t="shared" ref="G160:H163" si="49">G162</f>
        <v>40000</v>
      </c>
      <c r="H160" s="746">
        <f t="shared" si="49"/>
        <v>40000</v>
      </c>
      <c r="I160" s="791">
        <f t="shared" si="41"/>
        <v>0.56862745098039214</v>
      </c>
    </row>
    <row r="161" spans="1:11">
      <c r="A161" s="619" t="s">
        <v>449</v>
      </c>
      <c r="B161" s="620" t="s">
        <v>479</v>
      </c>
      <c r="C161" s="614" t="s">
        <v>232</v>
      </c>
      <c r="D161" s="614" t="s">
        <v>234</v>
      </c>
      <c r="E161" s="615">
        <f t="shared" si="48"/>
        <v>144500</v>
      </c>
      <c r="F161" s="615">
        <f>F163</f>
        <v>200000</v>
      </c>
      <c r="G161" s="615">
        <f t="shared" si="49"/>
        <v>200000</v>
      </c>
      <c r="H161" s="746">
        <f t="shared" si="49"/>
        <v>200000</v>
      </c>
      <c r="I161" s="791">
        <f t="shared" si="41"/>
        <v>0.38408304498269896</v>
      </c>
    </row>
    <row r="162" spans="1:11" hidden="1">
      <c r="A162" s="320" t="s">
        <v>83</v>
      </c>
      <c r="B162" s="321" t="s">
        <v>84</v>
      </c>
      <c r="C162" s="334" t="s">
        <v>232</v>
      </c>
      <c r="D162" s="322">
        <v>12</v>
      </c>
      <c r="E162" s="323">
        <f t="shared" si="48"/>
        <v>25500</v>
      </c>
      <c r="F162" s="323">
        <f>F164</f>
        <v>40000</v>
      </c>
      <c r="G162" s="323">
        <f t="shared" si="49"/>
        <v>40000</v>
      </c>
      <c r="H162" s="747">
        <f t="shared" si="49"/>
        <v>40000</v>
      </c>
      <c r="I162" s="791">
        <f t="shared" si="41"/>
        <v>0.56862745098039214</v>
      </c>
    </row>
    <row r="163" spans="1:11" hidden="1">
      <c r="A163" s="320" t="s">
        <v>83</v>
      </c>
      <c r="B163" s="321" t="s">
        <v>84</v>
      </c>
      <c r="C163" s="334" t="s">
        <v>232</v>
      </c>
      <c r="D163" s="322">
        <v>563</v>
      </c>
      <c r="E163" s="323">
        <f t="shared" si="48"/>
        <v>144500</v>
      </c>
      <c r="F163" s="323">
        <f>F165</f>
        <v>200000</v>
      </c>
      <c r="G163" s="323">
        <f t="shared" si="49"/>
        <v>200000</v>
      </c>
      <c r="H163" s="747">
        <f t="shared" si="49"/>
        <v>200000</v>
      </c>
      <c r="I163" s="791">
        <f t="shared" si="41"/>
        <v>0.38408304498269896</v>
      </c>
    </row>
    <row r="164" spans="1:11" hidden="1">
      <c r="A164" s="324" t="s">
        <v>85</v>
      </c>
      <c r="B164" s="325" t="s">
        <v>86</v>
      </c>
      <c r="C164" s="334" t="s">
        <v>232</v>
      </c>
      <c r="D164" s="334" t="s">
        <v>82</v>
      </c>
      <c r="E164" s="335">
        <v>25500</v>
      </c>
      <c r="F164" s="335">
        <v>40000</v>
      </c>
      <c r="G164" s="335">
        <v>40000</v>
      </c>
      <c r="H164" s="750">
        <v>40000</v>
      </c>
      <c r="I164" s="791">
        <f t="shared" si="41"/>
        <v>0.56862745098039214</v>
      </c>
    </row>
    <row r="165" spans="1:11" hidden="1">
      <c r="A165" s="324" t="s">
        <v>85</v>
      </c>
      <c r="B165" s="325" t="s">
        <v>86</v>
      </c>
      <c r="C165" s="334" t="s">
        <v>232</v>
      </c>
      <c r="D165" s="334" t="s">
        <v>234</v>
      </c>
      <c r="E165" s="335">
        <v>144500</v>
      </c>
      <c r="F165" s="335">
        <v>200000</v>
      </c>
      <c r="G165" s="335">
        <v>200000</v>
      </c>
      <c r="H165" s="750">
        <v>200000</v>
      </c>
      <c r="I165" s="791">
        <f t="shared" si="41"/>
        <v>0.38408304498269896</v>
      </c>
    </row>
    <row r="166" spans="1:11">
      <c r="A166" s="619" t="s">
        <v>481</v>
      </c>
      <c r="B166" s="620" t="s">
        <v>480</v>
      </c>
      <c r="C166" s="614" t="s">
        <v>232</v>
      </c>
      <c r="D166" s="614" t="s">
        <v>82</v>
      </c>
      <c r="E166" s="615">
        <f>E168+E174+E178</f>
        <v>320250</v>
      </c>
      <c r="F166" s="615">
        <f>F168+F174+F178</f>
        <v>82500</v>
      </c>
      <c r="G166" s="615">
        <f t="shared" ref="G166:H167" si="50">G168+G174+G178</f>
        <v>60000</v>
      </c>
      <c r="H166" s="746">
        <f t="shared" si="50"/>
        <v>54706</v>
      </c>
      <c r="I166" s="791">
        <f t="shared" si="41"/>
        <v>-0.74238875878220145</v>
      </c>
    </row>
    <row r="167" spans="1:11">
      <c r="A167" s="619" t="s">
        <v>481</v>
      </c>
      <c r="B167" s="620" t="s">
        <v>480</v>
      </c>
      <c r="C167" s="614" t="s">
        <v>232</v>
      </c>
      <c r="D167" s="614" t="s">
        <v>234</v>
      </c>
      <c r="E167" s="615">
        <f>E169+E175+E179</f>
        <v>1814750</v>
      </c>
      <c r="F167" s="615">
        <f>F169+F175+F179</f>
        <v>447500</v>
      </c>
      <c r="G167" s="615">
        <f t="shared" si="50"/>
        <v>320000</v>
      </c>
      <c r="H167" s="746">
        <f t="shared" si="50"/>
        <v>290000</v>
      </c>
      <c r="I167" s="791">
        <f t="shared" si="41"/>
        <v>-0.75340956054552966</v>
      </c>
      <c r="J167" s="264"/>
      <c r="K167" s="264"/>
    </row>
    <row r="168" spans="1:11" hidden="1">
      <c r="A168" s="320" t="s">
        <v>88</v>
      </c>
      <c r="B168" s="321" t="s">
        <v>89</v>
      </c>
      <c r="C168" s="334" t="s">
        <v>232</v>
      </c>
      <c r="D168" s="322" t="s">
        <v>82</v>
      </c>
      <c r="E168" s="323">
        <f>E170+E172</f>
        <v>267750</v>
      </c>
      <c r="F168" s="323">
        <f>F170+F172</f>
        <v>42353</v>
      </c>
      <c r="G168" s="323">
        <f t="shared" ref="G168:H169" si="51">G170+G172</f>
        <v>42353</v>
      </c>
      <c r="H168" s="747">
        <f t="shared" si="51"/>
        <v>42353</v>
      </c>
      <c r="I168" s="791">
        <f t="shared" si="41"/>
        <v>-0.84181886087768443</v>
      </c>
    </row>
    <row r="169" spans="1:11" hidden="1">
      <c r="A169" s="320" t="s">
        <v>88</v>
      </c>
      <c r="B169" s="321" t="s">
        <v>89</v>
      </c>
      <c r="C169" s="334" t="s">
        <v>232</v>
      </c>
      <c r="D169" s="322">
        <v>563</v>
      </c>
      <c r="E169" s="323">
        <f>E171+E173</f>
        <v>1517250</v>
      </c>
      <c r="F169" s="323">
        <f>F171+F173</f>
        <v>220000</v>
      </c>
      <c r="G169" s="323">
        <f t="shared" si="51"/>
        <v>220000</v>
      </c>
      <c r="H169" s="747">
        <f t="shared" si="51"/>
        <v>220000</v>
      </c>
      <c r="I169" s="791">
        <f t="shared" si="41"/>
        <v>-0.85500082385895537</v>
      </c>
    </row>
    <row r="170" spans="1:11" hidden="1">
      <c r="A170" s="324" t="s">
        <v>90</v>
      </c>
      <c r="B170" s="325" t="s">
        <v>91</v>
      </c>
      <c r="C170" s="334" t="s">
        <v>232</v>
      </c>
      <c r="D170" s="334" t="s">
        <v>82</v>
      </c>
      <c r="E170" s="335">
        <v>242250</v>
      </c>
      <c r="F170" s="335">
        <v>30000</v>
      </c>
      <c r="G170" s="335">
        <v>30000</v>
      </c>
      <c r="H170" s="750">
        <v>30000</v>
      </c>
      <c r="I170" s="791">
        <f t="shared" si="41"/>
        <v>-0.87616099071207432</v>
      </c>
    </row>
    <row r="171" spans="1:11" hidden="1">
      <c r="A171" s="324" t="s">
        <v>90</v>
      </c>
      <c r="B171" s="325" t="s">
        <v>91</v>
      </c>
      <c r="C171" s="334" t="s">
        <v>232</v>
      </c>
      <c r="D171" s="334" t="s">
        <v>234</v>
      </c>
      <c r="E171" s="335">
        <v>1372750</v>
      </c>
      <c r="F171" s="335">
        <v>150000</v>
      </c>
      <c r="G171" s="335">
        <v>150000</v>
      </c>
      <c r="H171" s="750">
        <v>150000</v>
      </c>
      <c r="I171" s="791">
        <f t="shared" si="41"/>
        <v>-0.89073028592241854</v>
      </c>
    </row>
    <row r="172" spans="1:11" hidden="1">
      <c r="A172" s="324" t="s">
        <v>92</v>
      </c>
      <c r="B172" s="325" t="s">
        <v>93</v>
      </c>
      <c r="C172" s="334" t="s">
        <v>232</v>
      </c>
      <c r="D172" s="334" t="s">
        <v>82</v>
      </c>
      <c r="E172" s="335">
        <v>25500</v>
      </c>
      <c r="F172" s="335">
        <v>12353</v>
      </c>
      <c r="G172" s="335">
        <v>12353</v>
      </c>
      <c r="H172" s="750">
        <v>12353</v>
      </c>
      <c r="I172" s="791">
        <f t="shared" si="41"/>
        <v>-0.51556862745098042</v>
      </c>
    </row>
    <row r="173" spans="1:11" hidden="1">
      <c r="A173" s="324" t="s">
        <v>92</v>
      </c>
      <c r="B173" s="325" t="s">
        <v>93</v>
      </c>
      <c r="C173" s="334" t="s">
        <v>232</v>
      </c>
      <c r="D173" s="334" t="s">
        <v>234</v>
      </c>
      <c r="E173" s="335">
        <v>144500</v>
      </c>
      <c r="F173" s="335">
        <v>70000</v>
      </c>
      <c r="G173" s="335">
        <v>70000</v>
      </c>
      <c r="H173" s="750">
        <v>70000</v>
      </c>
      <c r="I173" s="791">
        <f t="shared" si="41"/>
        <v>-0.51557093425605538</v>
      </c>
    </row>
    <row r="174" spans="1:11" hidden="1">
      <c r="A174" s="332">
        <v>423</v>
      </c>
      <c r="B174" s="321" t="s">
        <v>361</v>
      </c>
      <c r="C174" s="334" t="s">
        <v>232</v>
      </c>
      <c r="D174" s="322" t="s">
        <v>82</v>
      </c>
      <c r="E174" s="323">
        <f>E176</f>
        <v>22500</v>
      </c>
      <c r="F174" s="323">
        <f>F176</f>
        <v>22500</v>
      </c>
      <c r="G174" s="323">
        <f t="shared" ref="G174:H175" si="52">G176</f>
        <v>0</v>
      </c>
      <c r="H174" s="747">
        <f t="shared" si="52"/>
        <v>0</v>
      </c>
      <c r="I174" s="791">
        <f t="shared" si="41"/>
        <v>0</v>
      </c>
    </row>
    <row r="175" spans="1:11" hidden="1">
      <c r="A175" s="332">
        <v>423</v>
      </c>
      <c r="B175" s="321" t="s">
        <v>361</v>
      </c>
      <c r="C175" s="334" t="s">
        <v>232</v>
      </c>
      <c r="D175" s="322" t="s">
        <v>234</v>
      </c>
      <c r="E175" s="323">
        <f>E177</f>
        <v>127500</v>
      </c>
      <c r="F175" s="323">
        <f>F177</f>
        <v>127500</v>
      </c>
      <c r="G175" s="323">
        <f t="shared" si="52"/>
        <v>0</v>
      </c>
      <c r="H175" s="747">
        <f t="shared" si="52"/>
        <v>0</v>
      </c>
      <c r="I175" s="791">
        <f t="shared" si="41"/>
        <v>0</v>
      </c>
    </row>
    <row r="176" spans="1:11" hidden="1">
      <c r="A176" s="324">
        <v>4231</v>
      </c>
      <c r="B176" s="325" t="s">
        <v>362</v>
      </c>
      <c r="C176" s="334" t="s">
        <v>232</v>
      </c>
      <c r="D176" s="334" t="s">
        <v>82</v>
      </c>
      <c r="E176" s="335">
        <v>22500</v>
      </c>
      <c r="F176" s="335">
        <v>22500</v>
      </c>
      <c r="G176" s="335">
        <v>0</v>
      </c>
      <c r="H176" s="750">
        <v>0</v>
      </c>
      <c r="I176" s="791">
        <f t="shared" si="41"/>
        <v>0</v>
      </c>
    </row>
    <row r="177" spans="1:11" hidden="1">
      <c r="A177" s="324">
        <v>4231</v>
      </c>
      <c r="B177" s="325" t="s">
        <v>362</v>
      </c>
      <c r="C177" s="334" t="s">
        <v>232</v>
      </c>
      <c r="D177" s="334" t="s">
        <v>234</v>
      </c>
      <c r="E177" s="335">
        <v>127500</v>
      </c>
      <c r="F177" s="335">
        <v>127500</v>
      </c>
      <c r="G177" s="335">
        <v>0</v>
      </c>
      <c r="H177" s="750">
        <v>0</v>
      </c>
      <c r="I177" s="791">
        <f t="shared" ref="I177:I240" si="53">(F177-E177)/E177</f>
        <v>0</v>
      </c>
    </row>
    <row r="178" spans="1:11" hidden="1">
      <c r="A178" s="332">
        <v>426</v>
      </c>
      <c r="B178" s="342" t="s">
        <v>363</v>
      </c>
      <c r="C178" s="322" t="s">
        <v>232</v>
      </c>
      <c r="D178" s="322" t="s">
        <v>82</v>
      </c>
      <c r="E178" s="323">
        <f>E180</f>
        <v>30000</v>
      </c>
      <c r="F178" s="323">
        <f>F180</f>
        <v>17647</v>
      </c>
      <c r="G178" s="323">
        <f t="shared" ref="G178:H179" si="54">G180</f>
        <v>17647</v>
      </c>
      <c r="H178" s="747">
        <f t="shared" si="54"/>
        <v>12353</v>
      </c>
      <c r="I178" s="791">
        <f t="shared" si="53"/>
        <v>-0.41176666666666667</v>
      </c>
    </row>
    <row r="179" spans="1:11" hidden="1">
      <c r="A179" s="332">
        <v>426</v>
      </c>
      <c r="B179" s="342" t="s">
        <v>363</v>
      </c>
      <c r="C179" s="322" t="s">
        <v>232</v>
      </c>
      <c r="D179" s="322" t="s">
        <v>234</v>
      </c>
      <c r="E179" s="323">
        <f>E181</f>
        <v>170000</v>
      </c>
      <c r="F179" s="323">
        <f>F181</f>
        <v>100000</v>
      </c>
      <c r="G179" s="323">
        <f t="shared" si="54"/>
        <v>100000</v>
      </c>
      <c r="H179" s="747">
        <f t="shared" si="54"/>
        <v>70000</v>
      </c>
      <c r="I179" s="791">
        <f t="shared" si="53"/>
        <v>-0.41176470588235292</v>
      </c>
    </row>
    <row r="180" spans="1:11" hidden="1">
      <c r="A180" s="324">
        <v>4262</v>
      </c>
      <c r="B180" s="325" t="s">
        <v>182</v>
      </c>
      <c r="C180" s="334" t="s">
        <v>232</v>
      </c>
      <c r="D180" s="334" t="s">
        <v>82</v>
      </c>
      <c r="E180" s="335">
        <v>30000</v>
      </c>
      <c r="F180" s="335">
        <v>17647</v>
      </c>
      <c r="G180" s="335">
        <v>17647</v>
      </c>
      <c r="H180" s="750">
        <v>12353</v>
      </c>
      <c r="I180" s="791">
        <f t="shared" si="53"/>
        <v>-0.41176666666666667</v>
      </c>
    </row>
    <row r="181" spans="1:11" hidden="1">
      <c r="A181" s="324">
        <v>4262</v>
      </c>
      <c r="B181" s="325" t="s">
        <v>182</v>
      </c>
      <c r="C181" s="334" t="s">
        <v>232</v>
      </c>
      <c r="D181" s="334" t="s">
        <v>234</v>
      </c>
      <c r="E181" s="335">
        <v>170000</v>
      </c>
      <c r="F181" s="335">
        <v>100000</v>
      </c>
      <c r="G181" s="335">
        <v>100000</v>
      </c>
      <c r="H181" s="750">
        <v>70000</v>
      </c>
      <c r="I181" s="791">
        <f t="shared" si="53"/>
        <v>-0.41176470588235292</v>
      </c>
    </row>
    <row r="182" spans="1:11">
      <c r="A182" s="316" t="s">
        <v>459</v>
      </c>
      <c r="B182" s="317" t="s">
        <v>473</v>
      </c>
      <c r="C182" s="318" t="s">
        <v>232</v>
      </c>
      <c r="D182" s="319"/>
      <c r="E182" s="319">
        <f>E183+E184+E189+E190+E191</f>
        <v>361052100</v>
      </c>
      <c r="F182" s="319">
        <f>F183+F184+F189+F190+F191</f>
        <v>335972221</v>
      </c>
      <c r="G182" s="319">
        <f t="shared" ref="G182:H182" si="55">G183+G184+G189+G190+G191</f>
        <v>286340101</v>
      </c>
      <c r="H182" s="745">
        <f t="shared" si="55"/>
        <v>54000000</v>
      </c>
      <c r="I182" s="792">
        <f t="shared" si="53"/>
        <v>-6.9463323991191303E-2</v>
      </c>
      <c r="J182" s="22"/>
    </row>
    <row r="183" spans="1:11">
      <c r="A183" s="619" t="s">
        <v>486</v>
      </c>
      <c r="B183" s="620" t="s">
        <v>487</v>
      </c>
      <c r="C183" s="614" t="s">
        <v>232</v>
      </c>
      <c r="D183" s="614" t="s">
        <v>216</v>
      </c>
      <c r="E183" s="615">
        <f t="shared" ref="E183:E186" si="56">E185</f>
        <v>0</v>
      </c>
      <c r="F183" s="615">
        <f>F185</f>
        <v>0</v>
      </c>
      <c r="G183" s="615">
        <f t="shared" ref="G183:H183" si="57">G185</f>
        <v>0</v>
      </c>
      <c r="H183" s="746">
        <f t="shared" si="57"/>
        <v>0</v>
      </c>
      <c r="I183" s="791" t="e">
        <f t="shared" si="53"/>
        <v>#DIV/0!</v>
      </c>
    </row>
    <row r="184" spans="1:11">
      <c r="A184" s="619" t="s">
        <v>486</v>
      </c>
      <c r="B184" s="620" t="s">
        <v>487</v>
      </c>
      <c r="C184" s="614" t="s">
        <v>232</v>
      </c>
      <c r="D184" s="614" t="s">
        <v>234</v>
      </c>
      <c r="E184" s="615">
        <f t="shared" si="56"/>
        <v>9552100</v>
      </c>
      <c r="F184" s="615">
        <f>F186</f>
        <v>15522221</v>
      </c>
      <c r="G184" s="615">
        <f t="shared" ref="G184:H184" si="58">G188</f>
        <v>18340101</v>
      </c>
      <c r="H184" s="746">
        <f t="shared" si="58"/>
        <v>0</v>
      </c>
      <c r="I184" s="791">
        <f t="shared" si="53"/>
        <v>0.62500612430774383</v>
      </c>
      <c r="J184" s="22"/>
      <c r="K184" s="22"/>
    </row>
    <row r="185" spans="1:11" hidden="1">
      <c r="A185" s="320" t="s">
        <v>460</v>
      </c>
      <c r="B185" s="321" t="s">
        <v>461</v>
      </c>
      <c r="C185" s="340" t="s">
        <v>232</v>
      </c>
      <c r="D185" s="627">
        <v>43</v>
      </c>
      <c r="E185" s="331">
        <f t="shared" si="56"/>
        <v>0</v>
      </c>
      <c r="F185" s="331">
        <f>F187</f>
        <v>0</v>
      </c>
      <c r="G185" s="331">
        <f t="shared" ref="G185:H186" si="59">G187</f>
        <v>0</v>
      </c>
      <c r="H185" s="749">
        <f t="shared" si="59"/>
        <v>0</v>
      </c>
      <c r="I185" s="791" t="e">
        <f t="shared" si="53"/>
        <v>#DIV/0!</v>
      </c>
      <c r="J185" s="22"/>
    </row>
    <row r="186" spans="1:11" hidden="1">
      <c r="A186" s="320" t="s">
        <v>460</v>
      </c>
      <c r="B186" s="321" t="s">
        <v>461</v>
      </c>
      <c r="C186" s="340" t="s">
        <v>232</v>
      </c>
      <c r="D186" s="627">
        <v>563</v>
      </c>
      <c r="E186" s="331">
        <f t="shared" si="56"/>
        <v>9552100</v>
      </c>
      <c r="F186" s="331">
        <f>F188</f>
        <v>15522221</v>
      </c>
      <c r="G186" s="331">
        <f t="shared" si="59"/>
        <v>18340101</v>
      </c>
      <c r="H186" s="749">
        <f t="shared" si="59"/>
        <v>0</v>
      </c>
      <c r="I186" s="791">
        <f t="shared" si="53"/>
        <v>0.62500612430774383</v>
      </c>
      <c r="J186" s="22"/>
    </row>
    <row r="187" spans="1:11" hidden="1">
      <c r="A187" s="336" t="s">
        <v>462</v>
      </c>
      <c r="B187" s="337" t="s">
        <v>370</v>
      </c>
      <c r="C187" s="340" t="s">
        <v>495</v>
      </c>
      <c r="D187" s="626">
        <v>43</v>
      </c>
      <c r="E187" s="331"/>
      <c r="F187" s="341">
        <v>0</v>
      </c>
      <c r="G187" s="341">
        <v>0</v>
      </c>
      <c r="H187" s="748">
        <v>0</v>
      </c>
      <c r="I187" s="791" t="e">
        <f t="shared" si="53"/>
        <v>#DIV/0!</v>
      </c>
      <c r="J187" s="22"/>
    </row>
    <row r="188" spans="1:11" hidden="1">
      <c r="A188" s="336" t="s">
        <v>462</v>
      </c>
      <c r="B188" s="337" t="s">
        <v>370</v>
      </c>
      <c r="C188" s="340" t="s">
        <v>232</v>
      </c>
      <c r="D188" s="340" t="s">
        <v>234</v>
      </c>
      <c r="E188" s="341">
        <v>9552100</v>
      </c>
      <c r="F188" s="341">
        <v>15522221</v>
      </c>
      <c r="G188" s="341">
        <v>18340101</v>
      </c>
      <c r="H188" s="748"/>
      <c r="I188" s="791">
        <f t="shared" si="53"/>
        <v>0.62500612430774383</v>
      </c>
      <c r="J188" s="22"/>
    </row>
    <row r="189" spans="1:11">
      <c r="A189" s="619" t="s">
        <v>235</v>
      </c>
      <c r="B189" s="620" t="s">
        <v>482</v>
      </c>
      <c r="C189" s="621" t="s">
        <v>232</v>
      </c>
      <c r="D189" s="621" t="s">
        <v>82</v>
      </c>
      <c r="E189" s="622">
        <f>E192+E200</f>
        <v>75000000</v>
      </c>
      <c r="F189" s="622">
        <f>F192+F200</f>
        <v>112500000</v>
      </c>
      <c r="G189" s="622">
        <f>G192+G200</f>
        <v>130500000</v>
      </c>
      <c r="H189" s="751">
        <f>H192+H200</f>
        <v>0</v>
      </c>
      <c r="I189" s="791">
        <f t="shared" si="53"/>
        <v>0.5</v>
      </c>
      <c r="J189" s="22"/>
    </row>
    <row r="190" spans="1:11">
      <c r="A190" s="619" t="s">
        <v>235</v>
      </c>
      <c r="B190" s="620" t="s">
        <v>482</v>
      </c>
      <c r="C190" s="621" t="s">
        <v>232</v>
      </c>
      <c r="D190" s="621" t="s">
        <v>216</v>
      </c>
      <c r="E190" s="622">
        <f>E193</f>
        <v>0</v>
      </c>
      <c r="F190" s="622">
        <f>F193</f>
        <v>14200000</v>
      </c>
      <c r="G190" s="622">
        <f t="shared" ref="G190:H190" si="60">G193</f>
        <v>47500000</v>
      </c>
      <c r="H190" s="751">
        <f t="shared" si="60"/>
        <v>54000000</v>
      </c>
      <c r="I190" s="791" t="e">
        <f t="shared" si="53"/>
        <v>#DIV/0!</v>
      </c>
      <c r="J190" s="22"/>
    </row>
    <row r="191" spans="1:11">
      <c r="A191" s="619" t="s">
        <v>235</v>
      </c>
      <c r="B191" s="620" t="s">
        <v>482</v>
      </c>
      <c r="C191" s="621" t="s">
        <v>232</v>
      </c>
      <c r="D191" s="621" t="s">
        <v>234</v>
      </c>
      <c r="E191" s="622">
        <f>E194+E201</f>
        <v>276500000</v>
      </c>
      <c r="F191" s="622">
        <f>F194+F201</f>
        <v>193750000</v>
      </c>
      <c r="G191" s="622">
        <f t="shared" ref="G191:H191" si="61">G194+G201</f>
        <v>90000000</v>
      </c>
      <c r="H191" s="751">
        <f t="shared" si="61"/>
        <v>0</v>
      </c>
      <c r="I191" s="791">
        <f t="shared" si="53"/>
        <v>-0.29927667269439423</v>
      </c>
      <c r="J191" s="22"/>
    </row>
    <row r="192" spans="1:11" hidden="1">
      <c r="A192" s="320" t="s">
        <v>342</v>
      </c>
      <c r="B192" s="321" t="s">
        <v>79</v>
      </c>
      <c r="C192" s="333" t="s">
        <v>232</v>
      </c>
      <c r="D192" s="333" t="s">
        <v>82</v>
      </c>
      <c r="E192" s="341">
        <f>E195</f>
        <v>0</v>
      </c>
      <c r="F192" s="331">
        <f>F195</f>
        <v>0</v>
      </c>
      <c r="G192" s="331">
        <f t="shared" ref="G192:H192" si="62">G195</f>
        <v>0</v>
      </c>
      <c r="H192" s="749">
        <f t="shared" si="62"/>
        <v>0</v>
      </c>
      <c r="I192" s="791" t="e">
        <f t="shared" si="53"/>
        <v>#DIV/0!</v>
      </c>
      <c r="J192" s="22"/>
    </row>
    <row r="193" spans="1:11" hidden="1">
      <c r="A193" s="320" t="s">
        <v>342</v>
      </c>
      <c r="B193" s="321" t="s">
        <v>79</v>
      </c>
      <c r="C193" s="333" t="s">
        <v>232</v>
      </c>
      <c r="D193" s="333" t="s">
        <v>216</v>
      </c>
      <c r="E193" s="341">
        <f>E196+E198</f>
        <v>0</v>
      </c>
      <c r="F193" s="331">
        <f>F196+F198</f>
        <v>14200000</v>
      </c>
      <c r="G193" s="331">
        <f t="shared" ref="G193:H194" si="63">G196+G198</f>
        <v>47500000</v>
      </c>
      <c r="H193" s="749">
        <f t="shared" si="63"/>
        <v>54000000</v>
      </c>
      <c r="I193" s="791" t="e">
        <f t="shared" si="53"/>
        <v>#DIV/0!</v>
      </c>
    </row>
    <row r="194" spans="1:11" hidden="1">
      <c r="A194" s="320" t="s">
        <v>342</v>
      </c>
      <c r="B194" s="321" t="s">
        <v>79</v>
      </c>
      <c r="C194" s="333" t="s">
        <v>232</v>
      </c>
      <c r="D194" s="333" t="s">
        <v>234</v>
      </c>
      <c r="E194" s="323">
        <f>E197+E199</f>
        <v>133000000</v>
      </c>
      <c r="F194" s="331">
        <f>F197+F199</f>
        <v>23750000</v>
      </c>
      <c r="G194" s="331">
        <f t="shared" si="63"/>
        <v>0</v>
      </c>
      <c r="H194" s="749">
        <f t="shared" si="63"/>
        <v>0</v>
      </c>
      <c r="I194" s="791">
        <f t="shared" si="53"/>
        <v>-0.8214285714285714</v>
      </c>
    </row>
    <row r="195" spans="1:11" hidden="1">
      <c r="A195" s="339">
        <v>5163</v>
      </c>
      <c r="B195" s="337" t="s">
        <v>344</v>
      </c>
      <c r="C195" s="340" t="s">
        <v>232</v>
      </c>
      <c r="D195" s="340" t="s">
        <v>82</v>
      </c>
      <c r="E195" s="335">
        <v>0</v>
      </c>
      <c r="F195" s="341"/>
      <c r="G195" s="341"/>
      <c r="H195" s="748"/>
      <c r="I195" s="791" t="e">
        <f t="shared" si="53"/>
        <v>#DIV/0!</v>
      </c>
      <c r="K195" s="22"/>
    </row>
    <row r="196" spans="1:11" hidden="1">
      <c r="A196" s="339">
        <v>5163</v>
      </c>
      <c r="B196" s="337" t="s">
        <v>344</v>
      </c>
      <c r="C196" s="340" t="s">
        <v>232</v>
      </c>
      <c r="D196" s="340" t="s">
        <v>216</v>
      </c>
      <c r="E196" s="335">
        <v>0</v>
      </c>
      <c r="F196" s="341">
        <v>8500000</v>
      </c>
      <c r="G196" s="341">
        <v>28500000</v>
      </c>
      <c r="H196" s="748">
        <v>37000000</v>
      </c>
      <c r="I196" s="791" t="e">
        <f t="shared" si="53"/>
        <v>#DIV/0!</v>
      </c>
      <c r="K196" s="22"/>
    </row>
    <row r="197" spans="1:11" hidden="1">
      <c r="A197" s="339">
        <v>5163</v>
      </c>
      <c r="B197" s="337" t="s">
        <v>344</v>
      </c>
      <c r="C197" s="340" t="s">
        <v>232</v>
      </c>
      <c r="D197" s="340" t="s">
        <v>234</v>
      </c>
      <c r="E197" s="335">
        <v>79800000</v>
      </c>
      <c r="F197" s="341">
        <v>16000000</v>
      </c>
      <c r="G197" s="341">
        <v>0</v>
      </c>
      <c r="H197" s="748">
        <v>0</v>
      </c>
      <c r="I197" s="791">
        <f t="shared" si="53"/>
        <v>-0.79949874686716793</v>
      </c>
      <c r="K197" s="22"/>
    </row>
    <row r="198" spans="1:11" hidden="1">
      <c r="A198" s="339">
        <v>5164</v>
      </c>
      <c r="B198" s="337" t="s">
        <v>345</v>
      </c>
      <c r="C198" s="340" t="s">
        <v>492</v>
      </c>
      <c r="D198" s="340" t="s">
        <v>216</v>
      </c>
      <c r="E198" s="335">
        <v>0</v>
      </c>
      <c r="F198" s="341">
        <v>5700000</v>
      </c>
      <c r="G198" s="341">
        <v>19000000</v>
      </c>
      <c r="H198" s="748">
        <v>17000000</v>
      </c>
      <c r="I198" s="791" t="e">
        <f t="shared" si="53"/>
        <v>#DIV/0!</v>
      </c>
      <c r="J198" s="22"/>
      <c r="K198" s="22"/>
    </row>
    <row r="199" spans="1:11" hidden="1">
      <c r="A199" s="339">
        <v>5164</v>
      </c>
      <c r="B199" s="337" t="s">
        <v>345</v>
      </c>
      <c r="C199" s="340" t="s">
        <v>232</v>
      </c>
      <c r="D199" s="340" t="s">
        <v>234</v>
      </c>
      <c r="E199" s="341">
        <v>53200000</v>
      </c>
      <c r="F199" s="341">
        <v>7750000</v>
      </c>
      <c r="G199" s="341">
        <v>0</v>
      </c>
      <c r="H199" s="748">
        <v>0</v>
      </c>
      <c r="I199" s="791">
        <f t="shared" si="53"/>
        <v>-0.85432330827067671</v>
      </c>
    </row>
    <row r="200" spans="1:11" hidden="1">
      <c r="A200" s="320" t="s">
        <v>488</v>
      </c>
      <c r="B200" s="321" t="s">
        <v>428</v>
      </c>
      <c r="C200" s="333" t="s">
        <v>232</v>
      </c>
      <c r="D200" s="333" t="s">
        <v>82</v>
      </c>
      <c r="E200" s="331">
        <f>E202</f>
        <v>75000000</v>
      </c>
      <c r="F200" s="331">
        <f>F202</f>
        <v>112500000</v>
      </c>
      <c r="G200" s="331">
        <f t="shared" ref="G200:H201" si="64">G202</f>
        <v>130500000</v>
      </c>
      <c r="H200" s="749">
        <f t="shared" si="64"/>
        <v>0</v>
      </c>
      <c r="I200" s="791">
        <f t="shared" si="53"/>
        <v>0.5</v>
      </c>
    </row>
    <row r="201" spans="1:11" hidden="1">
      <c r="A201" s="320" t="s">
        <v>488</v>
      </c>
      <c r="B201" s="321" t="s">
        <v>428</v>
      </c>
      <c r="C201" s="333" t="s">
        <v>232</v>
      </c>
      <c r="D201" s="333" t="s">
        <v>234</v>
      </c>
      <c r="E201" s="331">
        <f>E203</f>
        <v>143500000</v>
      </c>
      <c r="F201" s="331">
        <f>F203</f>
        <v>170000000</v>
      </c>
      <c r="G201" s="331">
        <f t="shared" si="64"/>
        <v>90000000</v>
      </c>
      <c r="H201" s="749">
        <f t="shared" si="64"/>
        <v>0</v>
      </c>
      <c r="I201" s="791">
        <f t="shared" si="53"/>
        <v>0.18466898954703834</v>
      </c>
    </row>
    <row r="202" spans="1:11" hidden="1">
      <c r="A202" s="339">
        <v>5181</v>
      </c>
      <c r="B202" s="337" t="s">
        <v>429</v>
      </c>
      <c r="C202" s="340" t="s">
        <v>232</v>
      </c>
      <c r="D202" s="340" t="s">
        <v>82</v>
      </c>
      <c r="E202" s="341">
        <v>75000000</v>
      </c>
      <c r="F202" s="341">
        <v>112500000</v>
      </c>
      <c r="G202" s="341">
        <v>130500000</v>
      </c>
      <c r="H202" s="748">
        <v>0</v>
      </c>
      <c r="I202" s="791">
        <f t="shared" si="53"/>
        <v>0.5</v>
      </c>
    </row>
    <row r="203" spans="1:11" hidden="1">
      <c r="A203" s="339">
        <v>5181</v>
      </c>
      <c r="B203" s="337" t="s">
        <v>429</v>
      </c>
      <c r="C203" s="340" t="s">
        <v>232</v>
      </c>
      <c r="D203" s="340" t="s">
        <v>234</v>
      </c>
      <c r="E203" s="341">
        <v>143500000</v>
      </c>
      <c r="F203" s="341">
        <v>170000000</v>
      </c>
      <c r="G203" s="341">
        <v>90000000</v>
      </c>
      <c r="H203" s="748">
        <v>0</v>
      </c>
      <c r="I203" s="791">
        <f t="shared" si="53"/>
        <v>0.18466898954703834</v>
      </c>
    </row>
    <row r="204" spans="1:11">
      <c r="A204" s="316" t="s">
        <v>385</v>
      </c>
      <c r="B204" s="317" t="s">
        <v>369</v>
      </c>
      <c r="C204" s="318" t="s">
        <v>232</v>
      </c>
      <c r="D204" s="319"/>
      <c r="E204" s="319">
        <f>E205+E214+E236+E239+E242+E245</f>
        <v>12528849</v>
      </c>
      <c r="F204" s="319">
        <f>F205+F214+F236+F239+F242+F245</f>
        <v>18803848</v>
      </c>
      <c r="G204" s="319">
        <f t="shared" ref="G204:H204" si="65">G205+G214+G236+G239+G242+G245</f>
        <v>19530863</v>
      </c>
      <c r="H204" s="745">
        <f t="shared" si="65"/>
        <v>20585580.539999999</v>
      </c>
      <c r="I204" s="792">
        <f t="shared" si="53"/>
        <v>0.50084401208762275</v>
      </c>
    </row>
    <row r="205" spans="1:11">
      <c r="A205" s="619" t="s">
        <v>272</v>
      </c>
      <c r="B205" s="620" t="s">
        <v>474</v>
      </c>
      <c r="C205" s="621" t="s">
        <v>232</v>
      </c>
      <c r="D205" s="621" t="s">
        <v>234</v>
      </c>
      <c r="E205" s="622">
        <f>E206+E209+E211</f>
        <v>7789309</v>
      </c>
      <c r="F205" s="622">
        <f>F206+F209+F211</f>
        <v>12900153</v>
      </c>
      <c r="G205" s="622">
        <f t="shared" ref="G205:H205" si="66">G206+G209+G211</f>
        <v>14177168</v>
      </c>
      <c r="H205" s="751">
        <f t="shared" si="66"/>
        <v>15581885.539999999</v>
      </c>
      <c r="I205" s="791">
        <f t="shared" si="53"/>
        <v>0.65613573681567905</v>
      </c>
    </row>
    <row r="206" spans="1:11" hidden="1">
      <c r="A206" s="320" t="s">
        <v>1</v>
      </c>
      <c r="B206" s="321" t="s">
        <v>2</v>
      </c>
      <c r="C206" s="322" t="s">
        <v>232</v>
      </c>
      <c r="D206" s="322">
        <v>563</v>
      </c>
      <c r="E206" s="323">
        <f>E207+E208</f>
        <v>5668008</v>
      </c>
      <c r="F206" s="323">
        <f>F207+F208</f>
        <v>9430472</v>
      </c>
      <c r="G206" s="323">
        <f t="shared" ref="G206:H206" si="67">G207+G208</f>
        <v>10360519</v>
      </c>
      <c r="H206" s="747">
        <f t="shared" si="67"/>
        <v>11383571</v>
      </c>
      <c r="I206" s="791">
        <f t="shared" si="53"/>
        <v>0.66380710824684797</v>
      </c>
    </row>
    <row r="207" spans="1:11" hidden="1">
      <c r="A207" s="324" t="s">
        <v>3</v>
      </c>
      <c r="B207" s="325" t="s">
        <v>4</v>
      </c>
      <c r="C207" s="334" t="s">
        <v>232</v>
      </c>
      <c r="D207" s="334" t="s">
        <v>234</v>
      </c>
      <c r="E207" s="335">
        <v>5568008</v>
      </c>
      <c r="F207" s="335">
        <v>9300472</v>
      </c>
      <c r="G207" s="335">
        <v>10230519</v>
      </c>
      <c r="H207" s="750">
        <v>11253571</v>
      </c>
      <c r="I207" s="791">
        <f t="shared" si="53"/>
        <v>0.67034099088938093</v>
      </c>
      <c r="J207" s="22"/>
      <c r="K207" s="22"/>
    </row>
    <row r="208" spans="1:11" hidden="1">
      <c r="A208" s="324" t="s">
        <v>5</v>
      </c>
      <c r="B208" s="325" t="s">
        <v>6</v>
      </c>
      <c r="C208" s="334" t="s">
        <v>232</v>
      </c>
      <c r="D208" s="334" t="s">
        <v>234</v>
      </c>
      <c r="E208" s="335">
        <v>100000</v>
      </c>
      <c r="F208" s="335">
        <v>130000</v>
      </c>
      <c r="G208" s="335">
        <v>130000</v>
      </c>
      <c r="H208" s="750">
        <v>130000</v>
      </c>
      <c r="I208" s="791">
        <f t="shared" si="53"/>
        <v>0.3</v>
      </c>
    </row>
    <row r="209" spans="1:11" hidden="1">
      <c r="A209" s="320" t="s">
        <v>7</v>
      </c>
      <c r="B209" s="321" t="s">
        <v>8</v>
      </c>
      <c r="C209" s="322" t="s">
        <v>232</v>
      </c>
      <c r="D209" s="322" t="s">
        <v>234</v>
      </c>
      <c r="E209" s="323">
        <f>SUM(E210)</f>
        <v>1163260</v>
      </c>
      <c r="F209" s="323">
        <f>SUM(F210)</f>
        <v>1870000</v>
      </c>
      <c r="G209" s="323">
        <f t="shared" ref="G209:H209" si="68">SUM(G210)</f>
        <v>2057000</v>
      </c>
      <c r="H209" s="747">
        <f t="shared" si="68"/>
        <v>2262700</v>
      </c>
      <c r="I209" s="791">
        <f t="shared" si="53"/>
        <v>0.60755119233877208</v>
      </c>
    </row>
    <row r="210" spans="1:11" hidden="1">
      <c r="A210" s="324" t="s">
        <v>9</v>
      </c>
      <c r="B210" s="325" t="s">
        <v>8</v>
      </c>
      <c r="C210" s="334" t="s">
        <v>232</v>
      </c>
      <c r="D210" s="334" t="s">
        <v>234</v>
      </c>
      <c r="E210" s="335">
        <v>1163260</v>
      </c>
      <c r="F210" s="335">
        <v>1870000</v>
      </c>
      <c r="G210" s="335">
        <v>2057000</v>
      </c>
      <c r="H210" s="750">
        <v>2262700</v>
      </c>
      <c r="I210" s="791">
        <f t="shared" si="53"/>
        <v>0.60755119233877208</v>
      </c>
    </row>
    <row r="211" spans="1:11" hidden="1">
      <c r="A211" s="320" t="s">
        <v>10</v>
      </c>
      <c r="B211" s="321" t="s">
        <v>11</v>
      </c>
      <c r="C211" s="322" t="s">
        <v>232</v>
      </c>
      <c r="D211" s="322" t="s">
        <v>234</v>
      </c>
      <c r="E211" s="323">
        <f>E212+E213</f>
        <v>958041</v>
      </c>
      <c r="F211" s="323">
        <f>F212+F213</f>
        <v>1599681</v>
      </c>
      <c r="G211" s="323">
        <f t="shared" ref="G211:H211" si="69">G212+G213</f>
        <v>1759649</v>
      </c>
      <c r="H211" s="747">
        <f t="shared" si="69"/>
        <v>1935614.54</v>
      </c>
      <c r="I211" s="791">
        <f t="shared" si="53"/>
        <v>0.66974169163950181</v>
      </c>
    </row>
    <row r="212" spans="1:11" hidden="1">
      <c r="A212" s="324" t="s">
        <v>12</v>
      </c>
      <c r="B212" s="325" t="s">
        <v>13</v>
      </c>
      <c r="C212" s="334" t="s">
        <v>232</v>
      </c>
      <c r="D212" s="334" t="s">
        <v>234</v>
      </c>
      <c r="E212" s="335">
        <v>863041</v>
      </c>
      <c r="F212" s="335">
        <v>1441573</v>
      </c>
      <c r="G212" s="335">
        <v>1585730</v>
      </c>
      <c r="H212" s="750">
        <v>1744303.54</v>
      </c>
      <c r="I212" s="791">
        <f t="shared" si="53"/>
        <v>0.67034126999760146</v>
      </c>
    </row>
    <row r="213" spans="1:11" hidden="1">
      <c r="A213" s="324" t="s">
        <v>14</v>
      </c>
      <c r="B213" s="325" t="s">
        <v>15</v>
      </c>
      <c r="C213" s="334" t="s">
        <v>232</v>
      </c>
      <c r="D213" s="334" t="s">
        <v>234</v>
      </c>
      <c r="E213" s="335">
        <v>95000</v>
      </c>
      <c r="F213" s="335">
        <v>158108</v>
      </c>
      <c r="G213" s="335">
        <v>173919</v>
      </c>
      <c r="H213" s="750">
        <v>191311</v>
      </c>
      <c r="I213" s="791">
        <f t="shared" si="53"/>
        <v>0.66429473684210527</v>
      </c>
    </row>
    <row r="214" spans="1:11">
      <c r="A214" s="619" t="s">
        <v>475</v>
      </c>
      <c r="B214" s="620" t="s">
        <v>476</v>
      </c>
      <c r="C214" s="614" t="s">
        <v>232</v>
      </c>
      <c r="D214" s="614" t="s">
        <v>234</v>
      </c>
      <c r="E214" s="615">
        <f>E215+E220+E224+E233</f>
        <v>4054540</v>
      </c>
      <c r="F214" s="615">
        <f>F215+F220+F224+F233</f>
        <v>5087695</v>
      </c>
      <c r="G214" s="615">
        <f t="shared" ref="G214:H214" si="70">G215+G220+G224+G233</f>
        <v>4737695</v>
      </c>
      <c r="H214" s="746">
        <f t="shared" si="70"/>
        <v>4537695</v>
      </c>
      <c r="I214" s="791">
        <f t="shared" si="53"/>
        <v>0.25481435625249721</v>
      </c>
    </row>
    <row r="215" spans="1:11" hidden="1">
      <c r="A215" s="320" t="s">
        <v>16</v>
      </c>
      <c r="B215" s="321" t="s">
        <v>17</v>
      </c>
      <c r="C215" s="322" t="s">
        <v>232</v>
      </c>
      <c r="D215" s="322">
        <v>563</v>
      </c>
      <c r="E215" s="323">
        <f>E216+E217+E218</f>
        <v>642600</v>
      </c>
      <c r="F215" s="323">
        <f>F216+F217+F218+F219</f>
        <v>969990</v>
      </c>
      <c r="G215" s="323">
        <f t="shared" ref="G215:H215" si="71">G216+G217+G218+G219</f>
        <v>969990</v>
      </c>
      <c r="H215" s="747">
        <f t="shared" si="71"/>
        <v>969990</v>
      </c>
      <c r="I215" s="791">
        <f t="shared" si="53"/>
        <v>0.5094771241830065</v>
      </c>
    </row>
    <row r="216" spans="1:11" hidden="1">
      <c r="A216" s="336" t="s">
        <v>18</v>
      </c>
      <c r="B216" s="337" t="s">
        <v>19</v>
      </c>
      <c r="C216" s="334" t="s">
        <v>232</v>
      </c>
      <c r="D216" s="334" t="s">
        <v>234</v>
      </c>
      <c r="E216" s="335">
        <v>250000</v>
      </c>
      <c r="F216" s="335">
        <v>150000</v>
      </c>
      <c r="G216" s="335">
        <v>150000</v>
      </c>
      <c r="H216" s="750">
        <v>150000</v>
      </c>
      <c r="I216" s="791">
        <f t="shared" si="53"/>
        <v>-0.4</v>
      </c>
      <c r="J216" s="22"/>
      <c r="K216" s="22"/>
    </row>
    <row r="217" spans="1:11" hidden="1">
      <c r="A217" s="336" t="s">
        <v>20</v>
      </c>
      <c r="B217" s="337" t="s">
        <v>21</v>
      </c>
      <c r="C217" s="334" t="s">
        <v>232</v>
      </c>
      <c r="D217" s="334" t="s">
        <v>234</v>
      </c>
      <c r="E217" s="335">
        <v>192600</v>
      </c>
      <c r="F217" s="335">
        <v>369990</v>
      </c>
      <c r="G217" s="335">
        <v>369990</v>
      </c>
      <c r="H217" s="750">
        <v>369990</v>
      </c>
      <c r="I217" s="791">
        <f t="shared" si="53"/>
        <v>0.92102803738317762</v>
      </c>
    </row>
    <row r="218" spans="1:11" hidden="1">
      <c r="A218" s="336" t="s">
        <v>22</v>
      </c>
      <c r="B218" s="337" t="s">
        <v>23</v>
      </c>
      <c r="C218" s="334" t="s">
        <v>232</v>
      </c>
      <c r="D218" s="334" t="s">
        <v>234</v>
      </c>
      <c r="E218" s="335">
        <v>200000</v>
      </c>
      <c r="F218" s="335">
        <v>450000</v>
      </c>
      <c r="G218" s="335">
        <v>450000</v>
      </c>
      <c r="H218" s="750">
        <v>450000</v>
      </c>
      <c r="I218" s="791">
        <f t="shared" si="53"/>
        <v>1.25</v>
      </c>
    </row>
    <row r="219" spans="1:11" hidden="1">
      <c r="A219" s="336" t="s">
        <v>161</v>
      </c>
      <c r="B219" s="337" t="s">
        <v>162</v>
      </c>
      <c r="C219" s="334" t="s">
        <v>232</v>
      </c>
      <c r="D219" s="334" t="s">
        <v>234</v>
      </c>
      <c r="E219" s="335">
        <v>0</v>
      </c>
      <c r="F219" s="335">
        <v>0</v>
      </c>
      <c r="G219" s="335">
        <v>0</v>
      </c>
      <c r="H219" s="750">
        <v>0</v>
      </c>
      <c r="I219" s="791" t="e">
        <f t="shared" si="53"/>
        <v>#DIV/0!</v>
      </c>
    </row>
    <row r="220" spans="1:11" hidden="1">
      <c r="A220" s="320" t="s">
        <v>24</v>
      </c>
      <c r="B220" s="321" t="s">
        <v>25</v>
      </c>
      <c r="C220" s="322" t="s">
        <v>232</v>
      </c>
      <c r="D220" s="322">
        <v>563</v>
      </c>
      <c r="E220" s="323">
        <f>SUM(E221:E223)</f>
        <v>254940</v>
      </c>
      <c r="F220" s="323">
        <f>SUM(F221:F223)</f>
        <v>418010</v>
      </c>
      <c r="G220" s="323">
        <f t="shared" ref="G220:H220" si="72">SUM(G221:G223)</f>
        <v>418010</v>
      </c>
      <c r="H220" s="747">
        <f t="shared" si="72"/>
        <v>418010</v>
      </c>
      <c r="I220" s="791">
        <f t="shared" si="53"/>
        <v>0.63964069977249549</v>
      </c>
    </row>
    <row r="221" spans="1:11" hidden="1">
      <c r="A221" s="324" t="s">
        <v>26</v>
      </c>
      <c r="B221" s="325" t="s">
        <v>27</v>
      </c>
      <c r="C221" s="334" t="s">
        <v>232</v>
      </c>
      <c r="D221" s="334" t="s">
        <v>234</v>
      </c>
      <c r="E221" s="335">
        <v>89640</v>
      </c>
      <c r="F221" s="335">
        <v>150535</v>
      </c>
      <c r="G221" s="335">
        <v>150535</v>
      </c>
      <c r="H221" s="750">
        <v>150535</v>
      </c>
      <c r="I221" s="791">
        <f t="shared" si="53"/>
        <v>0.67932842481035249</v>
      </c>
    </row>
    <row r="222" spans="1:11" hidden="1">
      <c r="A222" s="324" t="s">
        <v>28</v>
      </c>
      <c r="B222" s="330" t="s">
        <v>29</v>
      </c>
      <c r="C222" s="334" t="s">
        <v>232</v>
      </c>
      <c r="D222" s="334" t="s">
        <v>234</v>
      </c>
      <c r="E222" s="341">
        <v>161900</v>
      </c>
      <c r="F222" s="341">
        <v>261800</v>
      </c>
      <c r="G222" s="341">
        <v>261800</v>
      </c>
      <c r="H222" s="748">
        <v>261800</v>
      </c>
      <c r="I222" s="791">
        <f t="shared" si="53"/>
        <v>0.61704756022235951</v>
      </c>
    </row>
    <row r="223" spans="1:11" hidden="1">
      <c r="A223" s="324">
        <v>3224</v>
      </c>
      <c r="B223" s="330" t="s">
        <v>31</v>
      </c>
      <c r="C223" s="334" t="s">
        <v>232</v>
      </c>
      <c r="D223" s="334" t="s">
        <v>234</v>
      </c>
      <c r="E223" s="341">
        <v>3400</v>
      </c>
      <c r="F223" s="341">
        <v>5675</v>
      </c>
      <c r="G223" s="341">
        <v>5675</v>
      </c>
      <c r="H223" s="748">
        <v>5675</v>
      </c>
      <c r="I223" s="791">
        <f t="shared" si="53"/>
        <v>0.66911764705882348</v>
      </c>
    </row>
    <row r="224" spans="1:11" hidden="1">
      <c r="A224" s="320" t="s">
        <v>34</v>
      </c>
      <c r="B224" s="321" t="s">
        <v>35</v>
      </c>
      <c r="C224" s="322" t="s">
        <v>232</v>
      </c>
      <c r="D224" s="322">
        <v>563</v>
      </c>
      <c r="E224" s="331">
        <f>SUM(E225:E232)</f>
        <v>2857000</v>
      </c>
      <c r="F224" s="331">
        <f>SUM(F225:F232)</f>
        <v>3449695</v>
      </c>
      <c r="G224" s="331">
        <f t="shared" ref="G224:H224" si="73">SUM(G225:G232)</f>
        <v>3149695</v>
      </c>
      <c r="H224" s="749">
        <f t="shared" si="73"/>
        <v>2949695</v>
      </c>
      <c r="I224" s="791">
        <f t="shared" si="53"/>
        <v>0.20745362268113407</v>
      </c>
    </row>
    <row r="225" spans="1:10" hidden="1">
      <c r="A225" s="336" t="s">
        <v>36</v>
      </c>
      <c r="B225" s="337" t="s">
        <v>37</v>
      </c>
      <c r="C225" s="334" t="s">
        <v>232</v>
      </c>
      <c r="D225" s="334" t="s">
        <v>234</v>
      </c>
      <c r="E225" s="341">
        <v>199000</v>
      </c>
      <c r="F225" s="341">
        <v>333795</v>
      </c>
      <c r="G225" s="341">
        <v>333795</v>
      </c>
      <c r="H225" s="748">
        <v>333795</v>
      </c>
      <c r="I225" s="791">
        <f t="shared" si="53"/>
        <v>0.67736180904522614</v>
      </c>
    </row>
    <row r="226" spans="1:10" hidden="1">
      <c r="A226" s="336" t="s">
        <v>38</v>
      </c>
      <c r="B226" s="337" t="s">
        <v>39</v>
      </c>
      <c r="C226" s="334" t="s">
        <v>232</v>
      </c>
      <c r="D226" s="340" t="s">
        <v>234</v>
      </c>
      <c r="E226" s="341">
        <v>223600</v>
      </c>
      <c r="F226" s="341">
        <v>375900</v>
      </c>
      <c r="G226" s="341">
        <v>375900</v>
      </c>
      <c r="H226" s="748">
        <v>375900</v>
      </c>
      <c r="I226" s="791">
        <f t="shared" si="53"/>
        <v>0.68112701252236141</v>
      </c>
    </row>
    <row r="227" spans="1:10" hidden="1">
      <c r="A227" s="336" t="s">
        <v>40</v>
      </c>
      <c r="B227" s="337" t="s">
        <v>41</v>
      </c>
      <c r="C227" s="334" t="s">
        <v>232</v>
      </c>
      <c r="D227" s="340" t="s">
        <v>234</v>
      </c>
      <c r="E227" s="327">
        <v>1000000</v>
      </c>
      <c r="F227" s="341">
        <v>1000000</v>
      </c>
      <c r="G227" s="341">
        <v>700000</v>
      </c>
      <c r="H227" s="748">
        <v>500000</v>
      </c>
      <c r="I227" s="791">
        <f t="shared" si="53"/>
        <v>0</v>
      </c>
    </row>
    <row r="228" spans="1:10" hidden="1">
      <c r="A228" s="336" t="s">
        <v>42</v>
      </c>
      <c r="B228" s="337" t="s">
        <v>43</v>
      </c>
      <c r="C228" s="334" t="s">
        <v>232</v>
      </c>
      <c r="D228" s="340" t="s">
        <v>234</v>
      </c>
      <c r="E228" s="327">
        <v>195600</v>
      </c>
      <c r="F228" s="341">
        <v>220000</v>
      </c>
      <c r="G228" s="341">
        <v>220000</v>
      </c>
      <c r="H228" s="748">
        <v>220000</v>
      </c>
      <c r="I228" s="791">
        <f t="shared" si="53"/>
        <v>0.12474437627811862</v>
      </c>
    </row>
    <row r="229" spans="1:10" hidden="1">
      <c r="A229" s="336" t="s">
        <v>44</v>
      </c>
      <c r="B229" s="337" t="s">
        <v>45</v>
      </c>
      <c r="C229" s="334" t="s">
        <v>232</v>
      </c>
      <c r="D229" s="340" t="s">
        <v>234</v>
      </c>
      <c r="E229" s="327">
        <v>738800</v>
      </c>
      <c r="F229" s="341">
        <v>990000</v>
      </c>
      <c r="G229" s="341">
        <v>990000</v>
      </c>
      <c r="H229" s="748">
        <v>990000</v>
      </c>
      <c r="I229" s="791">
        <f t="shared" si="53"/>
        <v>0.34001082837033025</v>
      </c>
    </row>
    <row r="230" spans="1:10" hidden="1">
      <c r="A230" s="336" t="s">
        <v>48</v>
      </c>
      <c r="B230" s="337" t="s">
        <v>49</v>
      </c>
      <c r="C230" s="334" t="s">
        <v>232</v>
      </c>
      <c r="D230" s="340" t="s">
        <v>234</v>
      </c>
      <c r="E230" s="327">
        <v>100000</v>
      </c>
      <c r="F230" s="341">
        <v>130000</v>
      </c>
      <c r="G230" s="341">
        <v>130000</v>
      </c>
      <c r="H230" s="748">
        <v>130000</v>
      </c>
      <c r="I230" s="791">
        <f t="shared" si="53"/>
        <v>0.3</v>
      </c>
    </row>
    <row r="231" spans="1:10" hidden="1">
      <c r="A231" s="336" t="s">
        <v>50</v>
      </c>
      <c r="B231" s="337" t="s">
        <v>51</v>
      </c>
      <c r="C231" s="334" t="s">
        <v>232</v>
      </c>
      <c r="D231" s="340" t="s">
        <v>234</v>
      </c>
      <c r="E231" s="327">
        <v>250000</v>
      </c>
      <c r="F231" s="341">
        <v>250000</v>
      </c>
      <c r="G231" s="341">
        <v>250000</v>
      </c>
      <c r="H231" s="748">
        <v>250000</v>
      </c>
      <c r="I231" s="791">
        <f t="shared" si="53"/>
        <v>0</v>
      </c>
    </row>
    <row r="232" spans="1:10" hidden="1">
      <c r="A232" s="336" t="s">
        <v>52</v>
      </c>
      <c r="B232" s="337" t="s">
        <v>53</v>
      </c>
      <c r="C232" s="334" t="s">
        <v>232</v>
      </c>
      <c r="D232" s="340" t="s">
        <v>234</v>
      </c>
      <c r="E232" s="327">
        <v>150000</v>
      </c>
      <c r="F232" s="341">
        <v>150000</v>
      </c>
      <c r="G232" s="341">
        <v>150000</v>
      </c>
      <c r="H232" s="748">
        <v>150000</v>
      </c>
      <c r="I232" s="791">
        <f t="shared" si="53"/>
        <v>0</v>
      </c>
      <c r="J232" s="264"/>
    </row>
    <row r="233" spans="1:10" hidden="1">
      <c r="A233" s="332" t="s">
        <v>57</v>
      </c>
      <c r="B233" s="321" t="s">
        <v>58</v>
      </c>
      <c r="C233" s="322" t="s">
        <v>232</v>
      </c>
      <c r="D233" s="333" t="s">
        <v>234</v>
      </c>
      <c r="E233" s="331">
        <f>SUM(E234:E235)</f>
        <v>300000</v>
      </c>
      <c r="F233" s="331">
        <f>SUM(F234:F235)</f>
        <v>250000</v>
      </c>
      <c r="G233" s="331">
        <f t="shared" ref="G233:H233" si="74">SUM(G234:G235)</f>
        <v>200000</v>
      </c>
      <c r="H233" s="749">
        <f t="shared" si="74"/>
        <v>200000</v>
      </c>
      <c r="I233" s="791">
        <f t="shared" si="53"/>
        <v>-0.16666666666666666</v>
      </c>
    </row>
    <row r="234" spans="1:10" hidden="1">
      <c r="A234" s="339" t="s">
        <v>63</v>
      </c>
      <c r="B234" s="337" t="s">
        <v>64</v>
      </c>
      <c r="C234" s="334" t="s">
        <v>232</v>
      </c>
      <c r="D234" s="326" t="s">
        <v>234</v>
      </c>
      <c r="E234" s="327">
        <v>150000</v>
      </c>
      <c r="F234" s="341">
        <v>100000</v>
      </c>
      <c r="G234" s="341">
        <v>50000</v>
      </c>
      <c r="H234" s="748">
        <v>50000</v>
      </c>
      <c r="I234" s="791">
        <f t="shared" si="53"/>
        <v>-0.33333333333333331</v>
      </c>
    </row>
    <row r="235" spans="1:10" hidden="1">
      <c r="A235" s="339">
        <v>3294</v>
      </c>
      <c r="B235" s="337" t="s">
        <v>360</v>
      </c>
      <c r="C235" s="334" t="s">
        <v>232</v>
      </c>
      <c r="D235" s="326" t="s">
        <v>234</v>
      </c>
      <c r="E235" s="327">
        <v>150000</v>
      </c>
      <c r="F235" s="341">
        <v>150000</v>
      </c>
      <c r="G235" s="341">
        <v>150000</v>
      </c>
      <c r="H235" s="748">
        <v>150000</v>
      </c>
      <c r="I235" s="791">
        <f t="shared" si="53"/>
        <v>0</v>
      </c>
    </row>
    <row r="236" spans="1:10">
      <c r="A236" s="619" t="s">
        <v>477</v>
      </c>
      <c r="B236" s="620" t="s">
        <v>478</v>
      </c>
      <c r="C236" s="614" t="s">
        <v>232</v>
      </c>
      <c r="D236" s="621" t="s">
        <v>234</v>
      </c>
      <c r="E236" s="622">
        <f>E237</f>
        <v>5000</v>
      </c>
      <c r="F236" s="622">
        <f>F237</f>
        <v>6000</v>
      </c>
      <c r="G236" s="622">
        <f t="shared" ref="G236:H237" si="75">G237</f>
        <v>6000</v>
      </c>
      <c r="H236" s="751">
        <f t="shared" si="75"/>
        <v>6000</v>
      </c>
      <c r="I236" s="791">
        <f t="shared" si="53"/>
        <v>0.2</v>
      </c>
    </row>
    <row r="237" spans="1:10" hidden="1">
      <c r="A237" s="320" t="s">
        <v>70</v>
      </c>
      <c r="B237" s="321" t="s">
        <v>71</v>
      </c>
      <c r="C237" s="322" t="s">
        <v>232</v>
      </c>
      <c r="D237" s="333" t="s">
        <v>234</v>
      </c>
      <c r="E237" s="331">
        <f>E238</f>
        <v>5000</v>
      </c>
      <c r="F237" s="331">
        <f>F238</f>
        <v>6000</v>
      </c>
      <c r="G237" s="331">
        <f t="shared" si="75"/>
        <v>6000</v>
      </c>
      <c r="H237" s="749">
        <f t="shared" si="75"/>
        <v>6000</v>
      </c>
      <c r="I237" s="791">
        <f t="shared" si="53"/>
        <v>0.2</v>
      </c>
    </row>
    <row r="238" spans="1:10" hidden="1">
      <c r="A238" s="336" t="s">
        <v>72</v>
      </c>
      <c r="B238" s="337" t="s">
        <v>73</v>
      </c>
      <c r="C238" s="334" t="s">
        <v>232</v>
      </c>
      <c r="D238" s="326" t="s">
        <v>234</v>
      </c>
      <c r="E238" s="327">
        <v>5000</v>
      </c>
      <c r="F238" s="472">
        <v>6000</v>
      </c>
      <c r="G238" s="472">
        <v>6000</v>
      </c>
      <c r="H238" s="752">
        <v>6000</v>
      </c>
      <c r="I238" s="791">
        <f t="shared" si="53"/>
        <v>0.2</v>
      </c>
    </row>
    <row r="239" spans="1:10">
      <c r="A239" s="619" t="s">
        <v>485</v>
      </c>
      <c r="B239" s="620" t="s">
        <v>484</v>
      </c>
      <c r="C239" s="614" t="s">
        <v>232</v>
      </c>
      <c r="D239" s="621" t="s">
        <v>234</v>
      </c>
      <c r="E239" s="622">
        <f>E240</f>
        <v>100000</v>
      </c>
      <c r="F239" s="622">
        <f>F240</f>
        <v>140000</v>
      </c>
      <c r="G239" s="622">
        <f t="shared" ref="G239:H240" si="76">G240</f>
        <v>140000</v>
      </c>
      <c r="H239" s="751">
        <f t="shared" si="76"/>
        <v>140000</v>
      </c>
      <c r="I239" s="791">
        <f t="shared" si="53"/>
        <v>0.4</v>
      </c>
    </row>
    <row r="240" spans="1:10" hidden="1">
      <c r="A240" s="320" t="s">
        <v>173</v>
      </c>
      <c r="B240" s="321" t="s">
        <v>440</v>
      </c>
      <c r="C240" s="322" t="s">
        <v>232</v>
      </c>
      <c r="D240" s="333" t="s">
        <v>234</v>
      </c>
      <c r="E240" s="331">
        <f>E241</f>
        <v>100000</v>
      </c>
      <c r="F240" s="628">
        <f>F241</f>
        <v>140000</v>
      </c>
      <c r="G240" s="628">
        <f t="shared" si="76"/>
        <v>140000</v>
      </c>
      <c r="H240" s="753">
        <f t="shared" si="76"/>
        <v>140000</v>
      </c>
      <c r="I240" s="791">
        <f t="shared" si="53"/>
        <v>0.4</v>
      </c>
    </row>
    <row r="241" spans="1:11" hidden="1">
      <c r="A241" s="336" t="s">
        <v>515</v>
      </c>
      <c r="B241" s="337" t="s">
        <v>514</v>
      </c>
      <c r="C241" s="334" t="s">
        <v>232</v>
      </c>
      <c r="D241" s="326" t="s">
        <v>234</v>
      </c>
      <c r="E241" s="327">
        <v>100000</v>
      </c>
      <c r="F241" s="472">
        <v>140000</v>
      </c>
      <c r="G241" s="472">
        <v>140000</v>
      </c>
      <c r="H241" s="752">
        <v>140000</v>
      </c>
      <c r="I241" s="791">
        <f t="shared" ref="I241:I304" si="77">(F241-E241)/E241</f>
        <v>0.4</v>
      </c>
    </row>
    <row r="242" spans="1:11">
      <c r="A242" s="619" t="s">
        <v>449</v>
      </c>
      <c r="B242" s="620" t="s">
        <v>479</v>
      </c>
      <c r="C242" s="614" t="s">
        <v>232</v>
      </c>
      <c r="D242" s="621" t="s">
        <v>234</v>
      </c>
      <c r="E242" s="622"/>
      <c r="F242" s="622">
        <f>F243</f>
        <v>20000</v>
      </c>
      <c r="G242" s="622">
        <f t="shared" ref="G242:H242" si="78">G243</f>
        <v>20000</v>
      </c>
      <c r="H242" s="751">
        <f t="shared" si="78"/>
        <v>20000</v>
      </c>
      <c r="I242" s="791" t="e">
        <f t="shared" si="77"/>
        <v>#DIV/0!</v>
      </c>
    </row>
    <row r="243" spans="1:11" hidden="1">
      <c r="A243" s="320" t="s">
        <v>83</v>
      </c>
      <c r="B243" s="321" t="s">
        <v>84</v>
      </c>
      <c r="C243" s="322" t="s">
        <v>232</v>
      </c>
      <c r="D243" s="333" t="s">
        <v>234</v>
      </c>
      <c r="E243" s="331">
        <f>SUM(E244)</f>
        <v>0</v>
      </c>
      <c r="F243" s="331">
        <f t="shared" ref="F243:H243" si="79">SUM(F244)</f>
        <v>20000</v>
      </c>
      <c r="G243" s="331">
        <f t="shared" si="79"/>
        <v>20000</v>
      </c>
      <c r="H243" s="749">
        <f t="shared" si="79"/>
        <v>20000</v>
      </c>
      <c r="I243" s="791" t="e">
        <f t="shared" si="77"/>
        <v>#DIV/0!</v>
      </c>
    </row>
    <row r="244" spans="1:11" hidden="1">
      <c r="A244" s="324" t="s">
        <v>85</v>
      </c>
      <c r="B244" s="325" t="s">
        <v>86</v>
      </c>
      <c r="C244" s="334" t="s">
        <v>232</v>
      </c>
      <c r="D244" s="326" t="s">
        <v>234</v>
      </c>
      <c r="E244" s="327">
        <v>0</v>
      </c>
      <c r="F244" s="341">
        <v>20000</v>
      </c>
      <c r="G244" s="341">
        <v>20000</v>
      </c>
      <c r="H244" s="748">
        <v>20000</v>
      </c>
      <c r="I244" s="791" t="e">
        <f t="shared" si="77"/>
        <v>#DIV/0!</v>
      </c>
    </row>
    <row r="245" spans="1:11">
      <c r="A245" s="619" t="s">
        <v>481</v>
      </c>
      <c r="B245" s="620" t="s">
        <v>480</v>
      </c>
      <c r="C245" s="614" t="s">
        <v>232</v>
      </c>
      <c r="D245" s="621" t="s">
        <v>234</v>
      </c>
      <c r="E245" s="622">
        <f>E246+E249</f>
        <v>580000</v>
      </c>
      <c r="F245" s="622">
        <f>F246+F249</f>
        <v>650000</v>
      </c>
      <c r="G245" s="622">
        <f t="shared" ref="G245:H245" si="80">G246+G249</f>
        <v>450000</v>
      </c>
      <c r="H245" s="751">
        <f t="shared" si="80"/>
        <v>300000</v>
      </c>
      <c r="I245" s="791">
        <f t="shared" si="77"/>
        <v>0.1206896551724138</v>
      </c>
    </row>
    <row r="246" spans="1:11" hidden="1">
      <c r="A246" s="320" t="s">
        <v>88</v>
      </c>
      <c r="B246" s="321" t="s">
        <v>89</v>
      </c>
      <c r="C246" s="322" t="s">
        <v>232</v>
      </c>
      <c r="D246" s="629">
        <v>563</v>
      </c>
      <c r="E246" s="331">
        <f>E247+E248</f>
        <v>380000</v>
      </c>
      <c r="F246" s="331">
        <f>F247+F248</f>
        <v>150000</v>
      </c>
      <c r="G246" s="331">
        <f t="shared" ref="G246:H246" si="81">G247+G248</f>
        <v>150000</v>
      </c>
      <c r="H246" s="749">
        <f t="shared" si="81"/>
        <v>150000</v>
      </c>
      <c r="I246" s="791">
        <f t="shared" si="77"/>
        <v>-0.60526315789473684</v>
      </c>
      <c r="J246" s="22"/>
      <c r="K246" s="22"/>
    </row>
    <row r="247" spans="1:11" hidden="1">
      <c r="A247" s="324" t="s">
        <v>90</v>
      </c>
      <c r="B247" s="325" t="s">
        <v>91</v>
      </c>
      <c r="C247" s="334" t="s">
        <v>232</v>
      </c>
      <c r="D247" s="326" t="s">
        <v>234</v>
      </c>
      <c r="E247" s="327">
        <v>380000</v>
      </c>
      <c r="F247" s="341">
        <v>150000</v>
      </c>
      <c r="G247" s="341">
        <v>150000</v>
      </c>
      <c r="H247" s="748">
        <v>150000</v>
      </c>
      <c r="I247" s="791">
        <f t="shared" si="77"/>
        <v>-0.60526315789473684</v>
      </c>
      <c r="J247" s="22"/>
      <c r="K247" s="22"/>
    </row>
    <row r="248" spans="1:11" hidden="1">
      <c r="A248" s="324">
        <v>4222</v>
      </c>
      <c r="B248" s="325" t="s">
        <v>93</v>
      </c>
      <c r="C248" s="334" t="s">
        <v>232</v>
      </c>
      <c r="D248" s="326" t="s">
        <v>234</v>
      </c>
      <c r="E248" s="327">
        <v>0</v>
      </c>
      <c r="F248" s="341">
        <v>0</v>
      </c>
      <c r="G248" s="341">
        <v>0</v>
      </c>
      <c r="H248" s="748">
        <v>0</v>
      </c>
      <c r="I248" s="791" t="e">
        <f t="shared" si="77"/>
        <v>#DIV/0!</v>
      </c>
      <c r="J248" s="22"/>
      <c r="K248" s="22"/>
    </row>
    <row r="249" spans="1:11" hidden="1">
      <c r="A249" s="332">
        <v>426</v>
      </c>
      <c r="B249" s="342" t="s">
        <v>363</v>
      </c>
      <c r="C249" s="322" t="s">
        <v>232</v>
      </c>
      <c r="D249" s="333" t="s">
        <v>234</v>
      </c>
      <c r="E249" s="331">
        <f>E250</f>
        <v>200000</v>
      </c>
      <c r="F249" s="331">
        <f>F250</f>
        <v>500000</v>
      </c>
      <c r="G249" s="331">
        <f t="shared" ref="G249:H249" si="82">G250</f>
        <v>300000</v>
      </c>
      <c r="H249" s="749">
        <f t="shared" si="82"/>
        <v>150000</v>
      </c>
      <c r="I249" s="791">
        <f t="shared" si="77"/>
        <v>1.5</v>
      </c>
    </row>
    <row r="250" spans="1:11" hidden="1">
      <c r="A250" s="324">
        <v>4262</v>
      </c>
      <c r="B250" s="330" t="s">
        <v>182</v>
      </c>
      <c r="C250" s="334" t="s">
        <v>232</v>
      </c>
      <c r="D250" s="326" t="s">
        <v>234</v>
      </c>
      <c r="E250" s="327">
        <v>200000</v>
      </c>
      <c r="F250" s="341">
        <v>500000</v>
      </c>
      <c r="G250" s="341">
        <v>300000</v>
      </c>
      <c r="H250" s="748">
        <v>150000</v>
      </c>
      <c r="I250" s="791">
        <f t="shared" si="77"/>
        <v>1.5</v>
      </c>
    </row>
    <row r="251" spans="1:11">
      <c r="A251" s="316" t="s">
        <v>386</v>
      </c>
      <c r="B251" s="317" t="s">
        <v>349</v>
      </c>
      <c r="C251" s="318" t="s">
        <v>232</v>
      </c>
      <c r="D251" s="319"/>
      <c r="E251" s="319">
        <f>E252+E263</f>
        <v>6599822</v>
      </c>
      <c r="F251" s="319">
        <f t="shared" ref="F251:H251" si="83">F252+F263</f>
        <v>17872000</v>
      </c>
      <c r="G251" s="319">
        <f t="shared" si="83"/>
        <v>19805000</v>
      </c>
      <c r="H251" s="745">
        <f t="shared" si="83"/>
        <v>21905000</v>
      </c>
      <c r="I251" s="792">
        <f t="shared" si="77"/>
        <v>1.7079518205187958</v>
      </c>
      <c r="J251" s="22"/>
      <c r="K251" s="22"/>
    </row>
    <row r="252" spans="1:11">
      <c r="A252" s="612" t="s">
        <v>475</v>
      </c>
      <c r="B252" s="613" t="s">
        <v>476</v>
      </c>
      <c r="C252" s="614" t="s">
        <v>232</v>
      </c>
      <c r="D252" s="621">
        <v>11</v>
      </c>
      <c r="E252" s="615">
        <f>E256</f>
        <v>1146400</v>
      </c>
      <c r="F252" s="615">
        <f>F256+F253+F261</f>
        <v>1872000</v>
      </c>
      <c r="G252" s="615">
        <f t="shared" ref="G252:H252" si="84">G256+G253+G261</f>
        <v>1805000</v>
      </c>
      <c r="H252" s="615">
        <f t="shared" si="84"/>
        <v>1905000</v>
      </c>
      <c r="I252" s="791">
        <f t="shared" si="77"/>
        <v>0.63293789253314725</v>
      </c>
      <c r="J252" s="22"/>
      <c r="K252" s="22"/>
    </row>
    <row r="253" spans="1:11" hidden="1">
      <c r="A253" s="320" t="s">
        <v>16</v>
      </c>
      <c r="B253" s="321" t="s">
        <v>17</v>
      </c>
      <c r="C253" s="322" t="s">
        <v>350</v>
      </c>
      <c r="D253" s="333" t="s">
        <v>0</v>
      </c>
      <c r="E253" s="323">
        <f>SUM(E254:E255)</f>
        <v>0</v>
      </c>
      <c r="F253" s="323">
        <f>SUM(F254:F255)</f>
        <v>60000</v>
      </c>
      <c r="G253" s="323">
        <f>SUM(G254:G255)</f>
        <v>60000</v>
      </c>
      <c r="H253" s="747">
        <f>SUM(H254:H255)</f>
        <v>60000</v>
      </c>
      <c r="I253" s="791" t="e">
        <f t="shared" si="77"/>
        <v>#DIV/0!</v>
      </c>
      <c r="J253" s="22"/>
      <c r="K253" s="22"/>
    </row>
    <row r="254" spans="1:11" hidden="1">
      <c r="A254" s="324" t="s">
        <v>18</v>
      </c>
      <c r="B254" s="325" t="s">
        <v>19</v>
      </c>
      <c r="C254" s="326" t="s">
        <v>350</v>
      </c>
      <c r="D254" s="326" t="s">
        <v>0</v>
      </c>
      <c r="E254" s="327">
        <v>0</v>
      </c>
      <c r="F254" s="341">
        <v>30000</v>
      </c>
      <c r="G254" s="341">
        <v>30000</v>
      </c>
      <c r="H254" s="341">
        <v>30000</v>
      </c>
      <c r="I254" s="791" t="e">
        <f t="shared" si="77"/>
        <v>#DIV/0!</v>
      </c>
      <c r="J254" s="22"/>
      <c r="K254" s="22"/>
    </row>
    <row r="255" spans="1:11" hidden="1">
      <c r="A255" s="324" t="s">
        <v>22</v>
      </c>
      <c r="B255" s="325" t="s">
        <v>23</v>
      </c>
      <c r="C255" s="326" t="s">
        <v>350</v>
      </c>
      <c r="D255" s="326" t="s">
        <v>0</v>
      </c>
      <c r="E255" s="327">
        <v>0</v>
      </c>
      <c r="F255" s="341">
        <v>30000</v>
      </c>
      <c r="G255" s="341">
        <v>30000</v>
      </c>
      <c r="H255" s="341">
        <v>30000</v>
      </c>
      <c r="I255" s="791" t="e">
        <f t="shared" si="77"/>
        <v>#DIV/0!</v>
      </c>
      <c r="J255" s="22"/>
      <c r="K255" s="22"/>
    </row>
    <row r="256" spans="1:11" hidden="1">
      <c r="A256" s="320" t="s">
        <v>430</v>
      </c>
      <c r="B256" s="321" t="s">
        <v>35</v>
      </c>
      <c r="C256" s="326" t="s">
        <v>232</v>
      </c>
      <c r="D256" s="326" t="s">
        <v>0</v>
      </c>
      <c r="E256" s="331">
        <f>SUM(E259:E260)</f>
        <v>1146400</v>
      </c>
      <c r="F256" s="331">
        <f>SUM(F257:F260)</f>
        <v>1782000</v>
      </c>
      <c r="G256" s="331">
        <f t="shared" ref="G256:H256" si="85">SUM(G257:G260)</f>
        <v>1715000</v>
      </c>
      <c r="H256" s="331">
        <f t="shared" si="85"/>
        <v>1815000</v>
      </c>
      <c r="I256" s="791">
        <f t="shared" si="77"/>
        <v>0.55443126308443824</v>
      </c>
      <c r="J256" s="22"/>
      <c r="K256" s="22"/>
    </row>
    <row r="257" spans="1:12" hidden="1">
      <c r="A257" s="336" t="s">
        <v>40</v>
      </c>
      <c r="B257" s="337" t="s">
        <v>41</v>
      </c>
      <c r="C257" s="334" t="s">
        <v>232</v>
      </c>
      <c r="D257" s="326" t="s">
        <v>0</v>
      </c>
      <c r="E257" s="341">
        <v>0</v>
      </c>
      <c r="F257" s="341">
        <v>100000</v>
      </c>
      <c r="G257" s="341">
        <v>100000</v>
      </c>
      <c r="H257" s="341">
        <v>100000</v>
      </c>
      <c r="I257" s="791" t="e">
        <f t="shared" si="77"/>
        <v>#DIV/0!</v>
      </c>
      <c r="J257" s="22"/>
      <c r="K257" s="22"/>
    </row>
    <row r="258" spans="1:12" hidden="1">
      <c r="A258" s="336" t="s">
        <v>44</v>
      </c>
      <c r="B258" s="337" t="s">
        <v>45</v>
      </c>
      <c r="C258" s="334" t="s">
        <v>232</v>
      </c>
      <c r="D258" s="326" t="s">
        <v>0</v>
      </c>
      <c r="E258" s="341">
        <v>0</v>
      </c>
      <c r="F258" s="341">
        <v>20000</v>
      </c>
      <c r="G258" s="341">
        <v>20000</v>
      </c>
      <c r="H258" s="341">
        <v>20000</v>
      </c>
      <c r="I258" s="791" t="e">
        <f t="shared" si="77"/>
        <v>#DIV/0!</v>
      </c>
      <c r="J258" s="22"/>
      <c r="K258" s="22"/>
    </row>
    <row r="259" spans="1:12" hidden="1">
      <c r="A259" s="324">
        <v>3237</v>
      </c>
      <c r="B259" s="325" t="s">
        <v>49</v>
      </c>
      <c r="C259" s="326" t="s">
        <v>232</v>
      </c>
      <c r="D259" s="326" t="s">
        <v>0</v>
      </c>
      <c r="E259" s="327">
        <v>1096400</v>
      </c>
      <c r="F259" s="341">
        <f>1612000-50000</f>
        <v>1562000</v>
      </c>
      <c r="G259" s="341">
        <f>1595000-50000</f>
        <v>1545000</v>
      </c>
      <c r="H259" s="748">
        <f>1695000-50000</f>
        <v>1645000</v>
      </c>
      <c r="I259" s="791">
        <f t="shared" si="77"/>
        <v>0.42466253192265596</v>
      </c>
    </row>
    <row r="260" spans="1:12" hidden="1">
      <c r="A260" s="324">
        <v>3238</v>
      </c>
      <c r="B260" s="325" t="s">
        <v>51</v>
      </c>
      <c r="C260" s="326" t="s">
        <v>232</v>
      </c>
      <c r="D260" s="326" t="s">
        <v>0</v>
      </c>
      <c r="E260" s="327">
        <v>50000</v>
      </c>
      <c r="F260" s="341">
        <v>100000</v>
      </c>
      <c r="G260" s="341">
        <v>50000</v>
      </c>
      <c r="H260" s="748">
        <v>50000</v>
      </c>
      <c r="I260" s="791">
        <f t="shared" si="77"/>
        <v>1</v>
      </c>
    </row>
    <row r="261" spans="1:12" hidden="1">
      <c r="A261" s="332" t="s">
        <v>57</v>
      </c>
      <c r="B261" s="321" t="s">
        <v>58</v>
      </c>
      <c r="C261" s="334" t="s">
        <v>232</v>
      </c>
      <c r="D261" s="322" t="s">
        <v>0</v>
      </c>
      <c r="E261" s="323">
        <f>E262+E263</f>
        <v>5453422</v>
      </c>
      <c r="F261" s="323">
        <f>F262</f>
        <v>30000</v>
      </c>
      <c r="G261" s="323">
        <f t="shared" ref="G261:H261" si="86">G262</f>
        <v>30000</v>
      </c>
      <c r="H261" s="323">
        <f t="shared" si="86"/>
        <v>30000</v>
      </c>
      <c r="I261" s="791">
        <f t="shared" si="77"/>
        <v>-0.99449886694996281</v>
      </c>
    </row>
    <row r="262" spans="1:12" hidden="1">
      <c r="A262" s="339" t="s">
        <v>63</v>
      </c>
      <c r="B262" s="337" t="s">
        <v>64</v>
      </c>
      <c r="C262" s="334" t="s">
        <v>232</v>
      </c>
      <c r="D262" s="334" t="s">
        <v>0</v>
      </c>
      <c r="E262" s="335">
        <v>0</v>
      </c>
      <c r="F262" s="335">
        <v>30000</v>
      </c>
      <c r="G262" s="335">
        <v>30000</v>
      </c>
      <c r="H262" s="335">
        <v>30000</v>
      </c>
      <c r="I262" s="791" t="e">
        <f t="shared" si="77"/>
        <v>#DIV/0!</v>
      </c>
    </row>
    <row r="263" spans="1:12">
      <c r="A263" s="612">
        <v>-35</v>
      </c>
      <c r="B263" s="613" t="s">
        <v>487</v>
      </c>
      <c r="C263" s="621" t="s">
        <v>232</v>
      </c>
      <c r="D263" s="621" t="s">
        <v>0</v>
      </c>
      <c r="E263" s="622">
        <f>E264+E266</f>
        <v>5453422</v>
      </c>
      <c r="F263" s="615">
        <f>F264+F266</f>
        <v>16000000</v>
      </c>
      <c r="G263" s="615">
        <f t="shared" ref="G263:H263" si="87">G264+G266</f>
        <v>18000000</v>
      </c>
      <c r="H263" s="746">
        <f t="shared" si="87"/>
        <v>20000000</v>
      </c>
      <c r="I263" s="791">
        <f t="shared" si="77"/>
        <v>1.9339376266865098</v>
      </c>
    </row>
    <row r="264" spans="1:12" hidden="1">
      <c r="A264" s="631" t="s">
        <v>207</v>
      </c>
      <c r="B264" s="632" t="s">
        <v>496</v>
      </c>
      <c r="C264" s="633" t="s">
        <v>232</v>
      </c>
      <c r="D264" s="633" t="s">
        <v>0</v>
      </c>
      <c r="E264" s="628">
        <f>E265</f>
        <v>0</v>
      </c>
      <c r="F264" s="634">
        <f>F265</f>
        <v>0</v>
      </c>
      <c r="G264" s="634">
        <f t="shared" ref="G264:H264" si="88">G265</f>
        <v>0</v>
      </c>
      <c r="H264" s="754">
        <f t="shared" si="88"/>
        <v>0</v>
      </c>
      <c r="I264" s="791" t="e">
        <f t="shared" si="77"/>
        <v>#DIV/0!</v>
      </c>
    </row>
    <row r="265" spans="1:12" hidden="1">
      <c r="A265" s="635" t="s">
        <v>497</v>
      </c>
      <c r="B265" s="636" t="s">
        <v>496</v>
      </c>
      <c r="C265" s="637" t="s">
        <v>232</v>
      </c>
      <c r="D265" s="637" t="s">
        <v>0</v>
      </c>
      <c r="E265" s="472"/>
      <c r="F265" s="638">
        <v>0</v>
      </c>
      <c r="G265" s="638">
        <v>0</v>
      </c>
      <c r="H265" s="755">
        <v>0</v>
      </c>
      <c r="I265" s="791" t="e">
        <f t="shared" si="77"/>
        <v>#DIV/0!</v>
      </c>
    </row>
    <row r="266" spans="1:12" hidden="1">
      <c r="A266" s="320" t="s">
        <v>196</v>
      </c>
      <c r="B266" s="321" t="s">
        <v>340</v>
      </c>
      <c r="C266" s="326" t="s">
        <v>232</v>
      </c>
      <c r="D266" s="703">
        <v>11</v>
      </c>
      <c r="E266" s="331">
        <f>SUM(E267:E267)</f>
        <v>5453422</v>
      </c>
      <c r="F266" s="331">
        <f>SUM(F267:F267)</f>
        <v>16000000</v>
      </c>
      <c r="G266" s="331">
        <f>SUM(G267:G267)</f>
        <v>18000000</v>
      </c>
      <c r="H266" s="749">
        <f>SUM(H267:H267)</f>
        <v>20000000</v>
      </c>
      <c r="I266" s="791">
        <f t="shared" si="77"/>
        <v>1.9339376266865098</v>
      </c>
    </row>
    <row r="267" spans="1:12" s="266" customFormat="1" hidden="1">
      <c r="A267" s="324">
        <v>3522</v>
      </c>
      <c r="B267" s="325" t="s">
        <v>198</v>
      </c>
      <c r="C267" s="326" t="s">
        <v>232</v>
      </c>
      <c r="D267" s="326" t="s">
        <v>0</v>
      </c>
      <c r="E267" s="327">
        <v>5453422</v>
      </c>
      <c r="F267" s="341">
        <v>16000000</v>
      </c>
      <c r="G267" s="341">
        <v>18000000</v>
      </c>
      <c r="H267" s="748">
        <v>20000000</v>
      </c>
      <c r="I267" s="791">
        <f t="shared" si="77"/>
        <v>1.9339376266865098</v>
      </c>
    </row>
    <row r="268" spans="1:12" s="266" customFormat="1">
      <c r="A268" s="316" t="s">
        <v>387</v>
      </c>
      <c r="B268" s="317" t="s">
        <v>505</v>
      </c>
      <c r="C268" s="318" t="s">
        <v>232</v>
      </c>
      <c r="D268" s="319"/>
      <c r="E268" s="319">
        <f>E269+E283</f>
        <v>4500000</v>
      </c>
      <c r="F268" s="319">
        <f>F269+F283</f>
        <v>4550000</v>
      </c>
      <c r="G268" s="319">
        <f t="shared" ref="G268:H268" si="89">G269+G283</f>
        <v>4550000</v>
      </c>
      <c r="H268" s="745">
        <f t="shared" si="89"/>
        <v>4550000</v>
      </c>
      <c r="I268" s="792">
        <f t="shared" si="77"/>
        <v>1.1111111111111112E-2</v>
      </c>
    </row>
    <row r="269" spans="1:12" s="266" customFormat="1">
      <c r="A269" s="612" t="s">
        <v>475</v>
      </c>
      <c r="B269" s="613" t="s">
        <v>476</v>
      </c>
      <c r="C269" s="614" t="s">
        <v>232</v>
      </c>
      <c r="D269" s="616">
        <v>11</v>
      </c>
      <c r="E269" s="615">
        <f>E270+E273+E278+E280</f>
        <v>300000</v>
      </c>
      <c r="F269" s="615">
        <f>F270+F273+F278+F280</f>
        <v>350000</v>
      </c>
      <c r="G269" s="615">
        <f>G270+G273+G278+G280</f>
        <v>350000</v>
      </c>
      <c r="H269" s="746">
        <f>H270+H273+H278+H280</f>
        <v>350000</v>
      </c>
      <c r="I269" s="791">
        <f t="shared" si="77"/>
        <v>0.16666666666666666</v>
      </c>
    </row>
    <row r="270" spans="1:12" hidden="1">
      <c r="A270" s="320" t="s">
        <v>16</v>
      </c>
      <c r="B270" s="321" t="s">
        <v>17</v>
      </c>
      <c r="C270" s="322" t="s">
        <v>232</v>
      </c>
      <c r="D270" s="624">
        <v>11</v>
      </c>
      <c r="E270" s="323">
        <f>SUM(E271:E272)</f>
        <v>80000</v>
      </c>
      <c r="F270" s="323">
        <f>SUM(F271:F272)</f>
        <v>80000</v>
      </c>
      <c r="G270" s="323">
        <f t="shared" ref="G270:H270" si="90">SUM(G271:G272)</f>
        <v>80000</v>
      </c>
      <c r="H270" s="747">
        <f t="shared" si="90"/>
        <v>80000</v>
      </c>
      <c r="I270" s="791">
        <f t="shared" si="77"/>
        <v>0</v>
      </c>
      <c r="J270" s="22"/>
    </row>
    <row r="271" spans="1:12" s="266" customFormat="1" hidden="1">
      <c r="A271" s="336" t="s">
        <v>18</v>
      </c>
      <c r="B271" s="337" t="s">
        <v>19</v>
      </c>
      <c r="C271" s="334" t="s">
        <v>232</v>
      </c>
      <c r="D271" s="334" t="s">
        <v>0</v>
      </c>
      <c r="E271" s="335">
        <v>80000</v>
      </c>
      <c r="F271" s="341">
        <v>80000</v>
      </c>
      <c r="G271" s="341">
        <v>80000</v>
      </c>
      <c r="H271" s="748">
        <v>80000</v>
      </c>
      <c r="I271" s="791">
        <f t="shared" si="77"/>
        <v>0</v>
      </c>
      <c r="J271" s="540"/>
      <c r="K271" s="540"/>
      <c r="L271" s="540"/>
    </row>
    <row r="272" spans="1:12" s="266" customFormat="1" hidden="1">
      <c r="A272" s="336" t="s">
        <v>161</v>
      </c>
      <c r="B272" s="337" t="s">
        <v>162</v>
      </c>
      <c r="C272" s="334" t="s">
        <v>232</v>
      </c>
      <c r="D272" s="334" t="s">
        <v>0</v>
      </c>
      <c r="E272" s="335"/>
      <c r="F272" s="341"/>
      <c r="G272" s="341"/>
      <c r="H272" s="748"/>
      <c r="I272" s="791" t="e">
        <f t="shared" si="77"/>
        <v>#DIV/0!</v>
      </c>
      <c r="J272" s="540"/>
      <c r="K272" s="540"/>
      <c r="L272" s="540"/>
    </row>
    <row r="273" spans="1:12" s="266" customFormat="1" hidden="1">
      <c r="A273" s="320" t="s">
        <v>34</v>
      </c>
      <c r="B273" s="321" t="s">
        <v>35</v>
      </c>
      <c r="C273" s="322" t="s">
        <v>232</v>
      </c>
      <c r="D273" s="322" t="s">
        <v>0</v>
      </c>
      <c r="E273" s="323">
        <f>SUM(E274:E277)</f>
        <v>80000</v>
      </c>
      <c r="F273" s="331">
        <f>SUM(F274:F277)</f>
        <v>110000</v>
      </c>
      <c r="G273" s="331">
        <f t="shared" ref="G273:H273" si="91">SUM(G274:G277)</f>
        <v>110000</v>
      </c>
      <c r="H273" s="749">
        <f t="shared" si="91"/>
        <v>110000</v>
      </c>
      <c r="I273" s="791">
        <f t="shared" si="77"/>
        <v>0.375</v>
      </c>
      <c r="J273" s="540"/>
      <c r="K273" s="540"/>
      <c r="L273" s="540"/>
    </row>
    <row r="274" spans="1:12" hidden="1">
      <c r="A274" s="336" t="s">
        <v>40</v>
      </c>
      <c r="B274" s="337" t="s">
        <v>41</v>
      </c>
      <c r="C274" s="334" t="s">
        <v>232</v>
      </c>
      <c r="D274" s="344" t="s">
        <v>0</v>
      </c>
      <c r="E274" s="335">
        <v>30000</v>
      </c>
      <c r="F274" s="341">
        <v>30000</v>
      </c>
      <c r="G274" s="341">
        <v>30000</v>
      </c>
      <c r="H274" s="748">
        <v>30000</v>
      </c>
      <c r="I274" s="791">
        <f t="shared" si="77"/>
        <v>0</v>
      </c>
      <c r="J274" s="22"/>
    </row>
    <row r="275" spans="1:12" hidden="1">
      <c r="A275" s="336" t="s">
        <v>44</v>
      </c>
      <c r="B275" s="337" t="s">
        <v>45</v>
      </c>
      <c r="C275" s="334" t="s">
        <v>232</v>
      </c>
      <c r="D275" s="334" t="s">
        <v>0</v>
      </c>
      <c r="E275" s="335">
        <v>20000</v>
      </c>
      <c r="F275" s="341">
        <v>20000</v>
      </c>
      <c r="G275" s="341">
        <v>20000</v>
      </c>
      <c r="H275" s="748">
        <v>20000</v>
      </c>
      <c r="I275" s="791">
        <f t="shared" si="77"/>
        <v>0</v>
      </c>
    </row>
    <row r="276" spans="1:12" hidden="1">
      <c r="A276" s="336" t="s">
        <v>48</v>
      </c>
      <c r="B276" s="337" t="s">
        <v>49</v>
      </c>
      <c r="C276" s="334" t="s">
        <v>232</v>
      </c>
      <c r="D276" s="334" t="s">
        <v>0</v>
      </c>
      <c r="E276" s="335">
        <v>10000</v>
      </c>
      <c r="F276" s="341">
        <v>40000</v>
      </c>
      <c r="G276" s="341">
        <v>40000</v>
      </c>
      <c r="H276" s="748">
        <v>40000</v>
      </c>
      <c r="I276" s="791">
        <f t="shared" si="77"/>
        <v>3</v>
      </c>
    </row>
    <row r="277" spans="1:12" hidden="1">
      <c r="A277" s="336" t="s">
        <v>52</v>
      </c>
      <c r="B277" s="337" t="s">
        <v>53</v>
      </c>
      <c r="C277" s="334" t="s">
        <v>232</v>
      </c>
      <c r="D277" s="334" t="s">
        <v>0</v>
      </c>
      <c r="E277" s="335">
        <v>20000</v>
      </c>
      <c r="F277" s="341">
        <v>20000</v>
      </c>
      <c r="G277" s="341">
        <v>20000</v>
      </c>
      <c r="H277" s="748">
        <v>20000</v>
      </c>
      <c r="I277" s="791">
        <f t="shared" si="77"/>
        <v>0</v>
      </c>
    </row>
    <row r="278" spans="1:12" hidden="1">
      <c r="A278" s="332" t="s">
        <v>54</v>
      </c>
      <c r="B278" s="321" t="s">
        <v>55</v>
      </c>
      <c r="C278" s="322" t="s">
        <v>232</v>
      </c>
      <c r="D278" s="624">
        <v>11</v>
      </c>
      <c r="E278" s="323">
        <f>E279</f>
        <v>50000</v>
      </c>
      <c r="F278" s="323">
        <f>F279</f>
        <v>70000</v>
      </c>
      <c r="G278" s="323">
        <f t="shared" ref="G278:H278" si="92">G279</f>
        <v>70000</v>
      </c>
      <c r="H278" s="747">
        <f t="shared" si="92"/>
        <v>70000</v>
      </c>
      <c r="I278" s="791">
        <f t="shared" si="77"/>
        <v>0.4</v>
      </c>
    </row>
    <row r="279" spans="1:12" hidden="1">
      <c r="A279" s="339" t="s">
        <v>56</v>
      </c>
      <c r="B279" s="337" t="s">
        <v>55</v>
      </c>
      <c r="C279" s="334" t="s">
        <v>232</v>
      </c>
      <c r="D279" s="344" t="s">
        <v>0</v>
      </c>
      <c r="E279" s="335">
        <v>50000</v>
      </c>
      <c r="F279" s="335">
        <v>70000</v>
      </c>
      <c r="G279" s="335">
        <v>70000</v>
      </c>
      <c r="H279" s="750">
        <v>70000</v>
      </c>
      <c r="I279" s="791">
        <f t="shared" si="77"/>
        <v>0.4</v>
      </c>
    </row>
    <row r="280" spans="1:12" hidden="1">
      <c r="A280" s="332" t="s">
        <v>57</v>
      </c>
      <c r="B280" s="321" t="s">
        <v>58</v>
      </c>
      <c r="C280" s="334" t="s">
        <v>232</v>
      </c>
      <c r="D280" s="322" t="s">
        <v>0</v>
      </c>
      <c r="E280" s="323">
        <f>E281+E282</f>
        <v>90000</v>
      </c>
      <c r="F280" s="323">
        <f>SUM(F281:F282)</f>
        <v>90000</v>
      </c>
      <c r="G280" s="323">
        <f t="shared" ref="G280:H280" si="93">SUM(G281:G282)</f>
        <v>90000</v>
      </c>
      <c r="H280" s="747">
        <f t="shared" si="93"/>
        <v>90000</v>
      </c>
      <c r="I280" s="791">
        <f t="shared" si="77"/>
        <v>0</v>
      </c>
    </row>
    <row r="281" spans="1:12" hidden="1">
      <c r="A281" s="339" t="s">
        <v>63</v>
      </c>
      <c r="B281" s="337" t="s">
        <v>64</v>
      </c>
      <c r="C281" s="334" t="s">
        <v>232</v>
      </c>
      <c r="D281" s="334" t="s">
        <v>0</v>
      </c>
      <c r="E281" s="335">
        <v>20000</v>
      </c>
      <c r="F281" s="335">
        <v>20000</v>
      </c>
      <c r="G281" s="335">
        <v>20000</v>
      </c>
      <c r="H281" s="756">
        <v>20000</v>
      </c>
      <c r="I281" s="791">
        <f t="shared" si="77"/>
        <v>0</v>
      </c>
    </row>
    <row r="282" spans="1:12" hidden="1">
      <c r="A282" s="339">
        <v>3294</v>
      </c>
      <c r="B282" s="337" t="s">
        <v>360</v>
      </c>
      <c r="C282" s="334" t="s">
        <v>232</v>
      </c>
      <c r="D282" s="334" t="s">
        <v>0</v>
      </c>
      <c r="E282" s="335">
        <v>70000</v>
      </c>
      <c r="F282" s="335">
        <v>70000</v>
      </c>
      <c r="G282" s="335">
        <v>70000</v>
      </c>
      <c r="H282" s="756">
        <v>70000</v>
      </c>
      <c r="I282" s="791">
        <f t="shared" si="77"/>
        <v>0</v>
      </c>
    </row>
    <row r="283" spans="1:12">
      <c r="A283" s="625" t="s">
        <v>486</v>
      </c>
      <c r="B283" s="620" t="s">
        <v>487</v>
      </c>
      <c r="C283" s="614" t="s">
        <v>232</v>
      </c>
      <c r="D283" s="614" t="s">
        <v>0</v>
      </c>
      <c r="E283" s="623">
        <f>E284</f>
        <v>4200000</v>
      </c>
      <c r="F283" s="615">
        <f>F284</f>
        <v>4200000</v>
      </c>
      <c r="G283" s="615">
        <f t="shared" ref="G283:H284" si="94">G284</f>
        <v>4200000</v>
      </c>
      <c r="H283" s="746">
        <f t="shared" si="94"/>
        <v>4200000</v>
      </c>
      <c r="I283" s="791">
        <f t="shared" si="77"/>
        <v>0</v>
      </c>
    </row>
    <row r="284" spans="1:12" hidden="1">
      <c r="A284" s="320" t="s">
        <v>196</v>
      </c>
      <c r="B284" s="321" t="s">
        <v>340</v>
      </c>
      <c r="C284" s="322" t="s">
        <v>232</v>
      </c>
      <c r="D284" s="624">
        <v>11</v>
      </c>
      <c r="E284" s="323">
        <f>E285</f>
        <v>4200000</v>
      </c>
      <c r="F284" s="323">
        <f>F285</f>
        <v>4200000</v>
      </c>
      <c r="G284" s="323">
        <f t="shared" si="94"/>
        <v>4200000</v>
      </c>
      <c r="H284" s="747">
        <f t="shared" si="94"/>
        <v>4200000</v>
      </c>
      <c r="I284" s="791">
        <f t="shared" si="77"/>
        <v>0</v>
      </c>
    </row>
    <row r="285" spans="1:12" hidden="1">
      <c r="A285" s="324" t="s">
        <v>197</v>
      </c>
      <c r="B285" s="337" t="s">
        <v>198</v>
      </c>
      <c r="C285" s="334" t="s">
        <v>232</v>
      </c>
      <c r="D285" s="344" t="s">
        <v>0</v>
      </c>
      <c r="E285" s="335">
        <v>4200000</v>
      </c>
      <c r="F285" s="335">
        <v>4200000</v>
      </c>
      <c r="G285" s="335">
        <v>4200000</v>
      </c>
      <c r="H285" s="750">
        <v>4200000</v>
      </c>
      <c r="I285" s="791">
        <f t="shared" si="77"/>
        <v>0</v>
      </c>
    </row>
    <row r="286" spans="1:12">
      <c r="A286" s="345" t="s">
        <v>389</v>
      </c>
      <c r="B286" s="346" t="s">
        <v>355</v>
      </c>
      <c r="C286" s="318" t="s">
        <v>350</v>
      </c>
      <c r="D286" s="319"/>
      <c r="E286" s="319">
        <f>E287+E290+E310</f>
        <v>1307300</v>
      </c>
      <c r="F286" s="319">
        <f>F287+F290+F310</f>
        <v>1065526</v>
      </c>
      <c r="G286" s="319">
        <f t="shared" ref="G286:H286" si="95">G287+G290+G310</f>
        <v>1065526</v>
      </c>
      <c r="H286" s="745">
        <f t="shared" si="95"/>
        <v>1056526</v>
      </c>
      <c r="I286" s="792">
        <f t="shared" si="77"/>
        <v>-0.18494148244473341</v>
      </c>
    </row>
    <row r="287" spans="1:12">
      <c r="A287" s="708" t="s">
        <v>272</v>
      </c>
      <c r="B287" s="613" t="s">
        <v>474</v>
      </c>
      <c r="C287" s="613" t="s">
        <v>350</v>
      </c>
      <c r="D287" s="708">
        <v>51</v>
      </c>
      <c r="E287" s="659">
        <f>E288</f>
        <v>624000</v>
      </c>
      <c r="F287" s="659">
        <f>F288</f>
        <v>447521</v>
      </c>
      <c r="G287" s="659">
        <f t="shared" ref="G287:H288" si="96">G288</f>
        <v>447521</v>
      </c>
      <c r="H287" s="757">
        <f t="shared" si="96"/>
        <v>447521</v>
      </c>
      <c r="I287" s="791">
        <f t="shared" si="77"/>
        <v>-0.28281891025641026</v>
      </c>
    </row>
    <row r="288" spans="1:12" hidden="1">
      <c r="A288" s="704" t="s">
        <v>7</v>
      </c>
      <c r="B288" s="705" t="s">
        <v>8</v>
      </c>
      <c r="C288" s="663" t="s">
        <v>350</v>
      </c>
      <c r="D288" s="706">
        <v>51</v>
      </c>
      <c r="E288" s="634">
        <f>E289</f>
        <v>624000</v>
      </c>
      <c r="F288" s="634">
        <f>F289</f>
        <v>447521</v>
      </c>
      <c r="G288" s="634">
        <f t="shared" si="96"/>
        <v>447521</v>
      </c>
      <c r="H288" s="754">
        <f t="shared" si="96"/>
        <v>447521</v>
      </c>
      <c r="I288" s="791">
        <f t="shared" si="77"/>
        <v>-0.28281891025641026</v>
      </c>
    </row>
    <row r="289" spans="1:9" hidden="1">
      <c r="A289" s="635" t="s">
        <v>9</v>
      </c>
      <c r="B289" s="636" t="s">
        <v>8</v>
      </c>
      <c r="C289" s="666" t="s">
        <v>350</v>
      </c>
      <c r="D289" s="707">
        <v>51</v>
      </c>
      <c r="E289" s="638">
        <v>624000</v>
      </c>
      <c r="F289" s="638">
        <v>447521</v>
      </c>
      <c r="G289" s="638">
        <v>447521</v>
      </c>
      <c r="H289" s="755">
        <v>447521</v>
      </c>
      <c r="I289" s="791">
        <f t="shared" si="77"/>
        <v>-0.28281891025641026</v>
      </c>
    </row>
    <row r="290" spans="1:9">
      <c r="A290" s="612" t="s">
        <v>475</v>
      </c>
      <c r="B290" s="613" t="s">
        <v>476</v>
      </c>
      <c r="C290" s="614" t="s">
        <v>350</v>
      </c>
      <c r="D290" s="621" t="s">
        <v>235</v>
      </c>
      <c r="E290" s="615">
        <f>E291+E294+E296+E305+E307</f>
        <v>473300</v>
      </c>
      <c r="F290" s="615">
        <f>F291+F294+F296+F305+F307</f>
        <v>558005</v>
      </c>
      <c r="G290" s="615">
        <f>G291+G294+G296+G305+G307</f>
        <v>568005</v>
      </c>
      <c r="H290" s="746">
        <f>H291+H294+H296+H305+H307</f>
        <v>579005</v>
      </c>
      <c r="I290" s="791">
        <f t="shared" si="77"/>
        <v>0.17896682864990493</v>
      </c>
    </row>
    <row r="291" spans="1:9" hidden="1">
      <c r="A291" s="320" t="s">
        <v>16</v>
      </c>
      <c r="B291" s="321" t="s">
        <v>17</v>
      </c>
      <c r="C291" s="322" t="s">
        <v>350</v>
      </c>
      <c r="D291" s="333">
        <v>51</v>
      </c>
      <c r="E291" s="323">
        <f>SUM(E292:E293)</f>
        <v>129000</v>
      </c>
      <c r="F291" s="323">
        <f>SUM(F292:F293)</f>
        <v>148390</v>
      </c>
      <c r="G291" s="323">
        <f>SUM(G292:G293)</f>
        <v>148390</v>
      </c>
      <c r="H291" s="747">
        <f>SUM(H292:H293)</f>
        <v>148390</v>
      </c>
      <c r="I291" s="791">
        <f t="shared" si="77"/>
        <v>0.15031007751937986</v>
      </c>
    </row>
    <row r="292" spans="1:9" hidden="1">
      <c r="A292" s="324" t="s">
        <v>18</v>
      </c>
      <c r="B292" s="325" t="s">
        <v>19</v>
      </c>
      <c r="C292" s="326" t="s">
        <v>350</v>
      </c>
      <c r="D292" s="326" t="s">
        <v>235</v>
      </c>
      <c r="E292" s="327">
        <v>113000</v>
      </c>
      <c r="F292" s="341">
        <v>128390</v>
      </c>
      <c r="G292" s="341">
        <v>128390</v>
      </c>
      <c r="H292" s="748">
        <v>128390</v>
      </c>
      <c r="I292" s="791">
        <f t="shared" si="77"/>
        <v>0.13619469026548672</v>
      </c>
    </row>
    <row r="293" spans="1:9" hidden="1">
      <c r="A293" s="324" t="s">
        <v>22</v>
      </c>
      <c r="B293" s="325" t="s">
        <v>23</v>
      </c>
      <c r="C293" s="326" t="s">
        <v>350</v>
      </c>
      <c r="D293" s="326" t="s">
        <v>235</v>
      </c>
      <c r="E293" s="327">
        <v>16000</v>
      </c>
      <c r="F293" s="341">
        <v>20000</v>
      </c>
      <c r="G293" s="341">
        <v>20000</v>
      </c>
      <c r="H293" s="748">
        <v>20000</v>
      </c>
      <c r="I293" s="791">
        <f t="shared" si="77"/>
        <v>0.25</v>
      </c>
    </row>
    <row r="294" spans="1:9" hidden="1">
      <c r="A294" s="332" t="s">
        <v>24</v>
      </c>
      <c r="B294" s="321" t="s">
        <v>25</v>
      </c>
      <c r="C294" s="333" t="s">
        <v>350</v>
      </c>
      <c r="D294" s="333" t="s">
        <v>235</v>
      </c>
      <c r="E294" s="331">
        <f>E295</f>
        <v>10000</v>
      </c>
      <c r="F294" s="331">
        <f>F295</f>
        <v>10000</v>
      </c>
      <c r="G294" s="331">
        <f t="shared" ref="G294:H294" si="97">G295</f>
        <v>10000</v>
      </c>
      <c r="H294" s="749">
        <f t="shared" si="97"/>
        <v>1000</v>
      </c>
      <c r="I294" s="791">
        <f t="shared" si="77"/>
        <v>0</v>
      </c>
    </row>
    <row r="295" spans="1:9" hidden="1">
      <c r="A295" s="324" t="s">
        <v>28</v>
      </c>
      <c r="B295" s="325" t="s">
        <v>29</v>
      </c>
      <c r="C295" s="340" t="s">
        <v>350</v>
      </c>
      <c r="D295" s="326" t="s">
        <v>235</v>
      </c>
      <c r="E295" s="327">
        <v>10000</v>
      </c>
      <c r="F295" s="341">
        <v>10000</v>
      </c>
      <c r="G295" s="341">
        <v>10000</v>
      </c>
      <c r="H295" s="748">
        <v>1000</v>
      </c>
      <c r="I295" s="791">
        <f t="shared" si="77"/>
        <v>0</v>
      </c>
    </row>
    <row r="296" spans="1:9" hidden="1">
      <c r="A296" s="332" t="s">
        <v>34</v>
      </c>
      <c r="B296" s="321" t="s">
        <v>35</v>
      </c>
      <c r="C296" s="333" t="s">
        <v>350</v>
      </c>
      <c r="D296" s="703">
        <v>51</v>
      </c>
      <c r="E296" s="331">
        <f>SUM(E297:E304)</f>
        <v>253800</v>
      </c>
      <c r="F296" s="331">
        <f>SUM(F297:F304)</f>
        <v>316237</v>
      </c>
      <c r="G296" s="331">
        <f t="shared" ref="G296:H296" si="98">SUM(G297:G304)</f>
        <v>316237</v>
      </c>
      <c r="H296" s="749">
        <f t="shared" si="98"/>
        <v>316237</v>
      </c>
      <c r="I296" s="791">
        <f t="shared" si="77"/>
        <v>0.24600866824271081</v>
      </c>
    </row>
    <row r="297" spans="1:9" hidden="1">
      <c r="A297" s="324" t="s">
        <v>36</v>
      </c>
      <c r="B297" s="325" t="s">
        <v>37</v>
      </c>
      <c r="C297" s="340" t="s">
        <v>350</v>
      </c>
      <c r="D297" s="326" t="s">
        <v>235</v>
      </c>
      <c r="E297" s="327">
        <v>20000</v>
      </c>
      <c r="F297" s="341">
        <v>20000</v>
      </c>
      <c r="G297" s="341">
        <v>20000</v>
      </c>
      <c r="H297" s="748">
        <v>20000</v>
      </c>
      <c r="I297" s="791">
        <f t="shared" si="77"/>
        <v>0</v>
      </c>
    </row>
    <row r="298" spans="1:9" hidden="1">
      <c r="A298" s="324" t="s">
        <v>38</v>
      </c>
      <c r="B298" s="325" t="s">
        <v>39</v>
      </c>
      <c r="C298" s="340" t="s">
        <v>350</v>
      </c>
      <c r="D298" s="326" t="s">
        <v>235</v>
      </c>
      <c r="E298" s="327">
        <v>25000</v>
      </c>
      <c r="F298" s="341">
        <v>25000</v>
      </c>
      <c r="G298" s="341">
        <v>25000</v>
      </c>
      <c r="H298" s="748">
        <v>25000</v>
      </c>
      <c r="I298" s="791">
        <f t="shared" si="77"/>
        <v>0</v>
      </c>
    </row>
    <row r="299" spans="1:9" hidden="1">
      <c r="A299" s="324" t="s">
        <v>40</v>
      </c>
      <c r="B299" s="325" t="s">
        <v>41</v>
      </c>
      <c r="C299" s="340" t="s">
        <v>350</v>
      </c>
      <c r="D299" s="326" t="s">
        <v>235</v>
      </c>
      <c r="E299" s="327">
        <v>78800</v>
      </c>
      <c r="F299" s="341">
        <v>85700</v>
      </c>
      <c r="G299" s="341">
        <v>85700</v>
      </c>
      <c r="H299" s="748">
        <v>85700</v>
      </c>
      <c r="I299" s="791">
        <f t="shared" si="77"/>
        <v>8.7563451776649745E-2</v>
      </c>
    </row>
    <row r="300" spans="1:9" hidden="1">
      <c r="A300" s="324" t="s">
        <v>42</v>
      </c>
      <c r="B300" s="325" t="s">
        <v>43</v>
      </c>
      <c r="C300" s="340" t="s">
        <v>350</v>
      </c>
      <c r="D300" s="326" t="s">
        <v>235</v>
      </c>
      <c r="E300" s="327">
        <v>10000</v>
      </c>
      <c r="F300" s="341">
        <v>10000</v>
      </c>
      <c r="G300" s="341">
        <v>10000</v>
      </c>
      <c r="H300" s="748">
        <v>10000</v>
      </c>
      <c r="I300" s="791">
        <f t="shared" si="77"/>
        <v>0</v>
      </c>
    </row>
    <row r="301" spans="1:9" hidden="1">
      <c r="A301" s="324" t="s">
        <v>44</v>
      </c>
      <c r="B301" s="325" t="s">
        <v>45</v>
      </c>
      <c r="C301" s="340" t="s">
        <v>350</v>
      </c>
      <c r="D301" s="326" t="s">
        <v>235</v>
      </c>
      <c r="E301" s="327">
        <v>41000</v>
      </c>
      <c r="F301" s="341">
        <v>67037</v>
      </c>
      <c r="G301" s="341">
        <v>67037</v>
      </c>
      <c r="H301" s="748">
        <v>67037</v>
      </c>
      <c r="I301" s="791">
        <f t="shared" si="77"/>
        <v>0.63504878048780489</v>
      </c>
    </row>
    <row r="302" spans="1:9" hidden="1">
      <c r="A302" s="324" t="s">
        <v>48</v>
      </c>
      <c r="B302" s="325" t="s">
        <v>49</v>
      </c>
      <c r="C302" s="340" t="s">
        <v>350</v>
      </c>
      <c r="D302" s="326" t="s">
        <v>235</v>
      </c>
      <c r="E302" s="327">
        <v>36300</v>
      </c>
      <c r="F302" s="341">
        <v>50000</v>
      </c>
      <c r="G302" s="341">
        <v>50000</v>
      </c>
      <c r="H302" s="748">
        <v>50000</v>
      </c>
      <c r="I302" s="791">
        <f t="shared" si="77"/>
        <v>0.37741046831955921</v>
      </c>
    </row>
    <row r="303" spans="1:9" hidden="1">
      <c r="A303" s="324" t="s">
        <v>50</v>
      </c>
      <c r="B303" s="325" t="s">
        <v>51</v>
      </c>
      <c r="C303" s="340" t="s">
        <v>350</v>
      </c>
      <c r="D303" s="326" t="s">
        <v>235</v>
      </c>
      <c r="E303" s="327">
        <v>3700</v>
      </c>
      <c r="F303" s="341">
        <v>18500</v>
      </c>
      <c r="G303" s="341">
        <v>18500</v>
      </c>
      <c r="H303" s="748">
        <v>18500</v>
      </c>
      <c r="I303" s="791">
        <f t="shared" si="77"/>
        <v>4</v>
      </c>
    </row>
    <row r="304" spans="1:9" hidden="1">
      <c r="A304" s="324" t="s">
        <v>52</v>
      </c>
      <c r="B304" s="325" t="s">
        <v>53</v>
      </c>
      <c r="C304" s="340" t="s">
        <v>350</v>
      </c>
      <c r="D304" s="326" t="s">
        <v>235</v>
      </c>
      <c r="E304" s="327">
        <v>39000</v>
      </c>
      <c r="F304" s="341">
        <v>40000</v>
      </c>
      <c r="G304" s="341">
        <v>40000</v>
      </c>
      <c r="H304" s="748">
        <v>40000</v>
      </c>
      <c r="I304" s="791">
        <f t="shared" si="77"/>
        <v>2.564102564102564E-2</v>
      </c>
    </row>
    <row r="305" spans="1:11" hidden="1">
      <c r="A305" s="332" t="s">
        <v>54</v>
      </c>
      <c r="B305" s="321" t="s">
        <v>55</v>
      </c>
      <c r="C305" s="333" t="s">
        <v>350</v>
      </c>
      <c r="D305" s="333" t="s">
        <v>235</v>
      </c>
      <c r="E305" s="331">
        <f>SUM(E306)</f>
        <v>18500</v>
      </c>
      <c r="F305" s="331">
        <f>SUM(F306)</f>
        <v>19092</v>
      </c>
      <c r="G305" s="331">
        <f t="shared" ref="G305:H305" si="99">SUM(G306)</f>
        <v>19092</v>
      </c>
      <c r="H305" s="749">
        <f t="shared" si="99"/>
        <v>19092</v>
      </c>
      <c r="I305" s="791">
        <f t="shared" ref="I305:I353" si="100">(F305-E305)/E305</f>
        <v>3.2000000000000001E-2</v>
      </c>
    </row>
    <row r="306" spans="1:11" hidden="1">
      <c r="A306" s="324" t="s">
        <v>56</v>
      </c>
      <c r="B306" s="325" t="s">
        <v>55</v>
      </c>
      <c r="C306" s="340" t="s">
        <v>350</v>
      </c>
      <c r="D306" s="326" t="s">
        <v>235</v>
      </c>
      <c r="E306" s="327">
        <v>18500</v>
      </c>
      <c r="F306" s="341">
        <v>19092</v>
      </c>
      <c r="G306" s="341">
        <v>19092</v>
      </c>
      <c r="H306" s="748">
        <v>19092</v>
      </c>
      <c r="I306" s="791">
        <f t="shared" si="100"/>
        <v>3.2000000000000001E-2</v>
      </c>
    </row>
    <row r="307" spans="1:11" hidden="1">
      <c r="A307" s="332" t="s">
        <v>57</v>
      </c>
      <c r="B307" s="321" t="s">
        <v>58</v>
      </c>
      <c r="C307" s="333" t="s">
        <v>350</v>
      </c>
      <c r="D307" s="333" t="s">
        <v>235</v>
      </c>
      <c r="E307" s="331">
        <f>SUM(E308:E309)</f>
        <v>62000</v>
      </c>
      <c r="F307" s="331">
        <f>SUM(F308:F309)</f>
        <v>64286</v>
      </c>
      <c r="G307" s="331">
        <f t="shared" ref="G307:H307" si="101">SUM(G308:G309)</f>
        <v>74286</v>
      </c>
      <c r="H307" s="749">
        <f t="shared" si="101"/>
        <v>94286</v>
      </c>
      <c r="I307" s="791">
        <f t="shared" si="100"/>
        <v>3.6870967741935483E-2</v>
      </c>
    </row>
    <row r="308" spans="1:11" hidden="1">
      <c r="A308" s="324" t="s">
        <v>63</v>
      </c>
      <c r="B308" s="325" t="s">
        <v>64</v>
      </c>
      <c r="C308" s="340" t="s">
        <v>350</v>
      </c>
      <c r="D308" s="326" t="s">
        <v>235</v>
      </c>
      <c r="E308" s="327">
        <v>62000</v>
      </c>
      <c r="F308" s="341">
        <v>64286</v>
      </c>
      <c r="G308" s="341">
        <v>54286</v>
      </c>
      <c r="H308" s="748">
        <v>74286</v>
      </c>
      <c r="I308" s="791">
        <f t="shared" si="100"/>
        <v>3.6870967741935483E-2</v>
      </c>
    </row>
    <row r="309" spans="1:11" hidden="1">
      <c r="A309" s="324" t="s">
        <v>69</v>
      </c>
      <c r="B309" s="325" t="s">
        <v>58</v>
      </c>
      <c r="C309" s="340" t="s">
        <v>350</v>
      </c>
      <c r="D309" s="326" t="s">
        <v>235</v>
      </c>
      <c r="E309" s="327">
        <v>0</v>
      </c>
      <c r="F309" s="341">
        <v>0</v>
      </c>
      <c r="G309" s="341">
        <v>20000</v>
      </c>
      <c r="H309" s="748">
        <v>20000</v>
      </c>
      <c r="I309" s="791" t="e">
        <f t="shared" si="100"/>
        <v>#DIV/0!</v>
      </c>
    </row>
    <row r="310" spans="1:11">
      <c r="A310" s="625" t="s">
        <v>481</v>
      </c>
      <c r="B310" s="620" t="s">
        <v>480</v>
      </c>
      <c r="C310" s="621" t="s">
        <v>350</v>
      </c>
      <c r="D310" s="621" t="s">
        <v>235</v>
      </c>
      <c r="E310" s="622">
        <f>E311+E314</f>
        <v>210000</v>
      </c>
      <c r="F310" s="622">
        <f>F311+F314</f>
        <v>60000</v>
      </c>
      <c r="G310" s="622">
        <f t="shared" ref="G310:H310" si="102">G311+G314</f>
        <v>50000</v>
      </c>
      <c r="H310" s="751">
        <f t="shared" si="102"/>
        <v>30000</v>
      </c>
      <c r="I310" s="791">
        <f t="shared" si="100"/>
        <v>-0.7142857142857143</v>
      </c>
    </row>
    <row r="311" spans="1:11" hidden="1">
      <c r="A311" s="332" t="s">
        <v>88</v>
      </c>
      <c r="B311" s="321" t="s">
        <v>89</v>
      </c>
      <c r="C311" s="333" t="s">
        <v>350</v>
      </c>
      <c r="D311" s="333" t="s">
        <v>235</v>
      </c>
      <c r="E311" s="331">
        <f>SUM(E312:E313)</f>
        <v>60000</v>
      </c>
      <c r="F311" s="331">
        <f>SUM(F312:F313)</f>
        <v>60000</v>
      </c>
      <c r="G311" s="331">
        <f t="shared" ref="G311:H311" si="103">SUM(G312:G313)</f>
        <v>50000</v>
      </c>
      <c r="H311" s="749">
        <f t="shared" si="103"/>
        <v>30000</v>
      </c>
      <c r="I311" s="791">
        <f t="shared" si="100"/>
        <v>0</v>
      </c>
      <c r="J311" s="22"/>
      <c r="K311" s="22"/>
    </row>
    <row r="312" spans="1:11" hidden="1">
      <c r="A312" s="324" t="s">
        <v>90</v>
      </c>
      <c r="B312" s="325" t="s">
        <v>91</v>
      </c>
      <c r="C312" s="340" t="s">
        <v>350</v>
      </c>
      <c r="D312" s="326" t="s">
        <v>235</v>
      </c>
      <c r="E312" s="327">
        <v>30000</v>
      </c>
      <c r="F312" s="341">
        <v>30000</v>
      </c>
      <c r="G312" s="341">
        <v>20000</v>
      </c>
      <c r="H312" s="748">
        <v>10000</v>
      </c>
      <c r="I312" s="791">
        <f t="shared" si="100"/>
        <v>0</v>
      </c>
      <c r="J312" s="22"/>
      <c r="K312" s="22"/>
    </row>
    <row r="313" spans="1:11" hidden="1">
      <c r="A313" s="324" t="s">
        <v>92</v>
      </c>
      <c r="B313" s="325" t="s">
        <v>93</v>
      </c>
      <c r="C313" s="340" t="s">
        <v>350</v>
      </c>
      <c r="D313" s="326">
        <v>51</v>
      </c>
      <c r="E313" s="327">
        <v>30000</v>
      </c>
      <c r="F313" s="341">
        <v>30000</v>
      </c>
      <c r="G313" s="341">
        <v>30000</v>
      </c>
      <c r="H313" s="748">
        <v>20000</v>
      </c>
      <c r="I313" s="791">
        <f t="shared" si="100"/>
        <v>0</v>
      </c>
    </row>
    <row r="314" spans="1:11" hidden="1">
      <c r="A314" s="332">
        <v>423</v>
      </c>
      <c r="B314" s="321" t="s">
        <v>296</v>
      </c>
      <c r="C314" s="333" t="s">
        <v>350</v>
      </c>
      <c r="D314" s="333" t="s">
        <v>235</v>
      </c>
      <c r="E314" s="331">
        <f>E315</f>
        <v>150000</v>
      </c>
      <c r="F314" s="331">
        <f>F315</f>
        <v>0</v>
      </c>
      <c r="G314" s="331">
        <f t="shared" ref="G314:H314" si="104">G315</f>
        <v>0</v>
      </c>
      <c r="H314" s="749">
        <f t="shared" si="104"/>
        <v>0</v>
      </c>
      <c r="I314" s="791">
        <f t="shared" si="100"/>
        <v>-1</v>
      </c>
    </row>
    <row r="315" spans="1:11" hidden="1">
      <c r="A315" s="324">
        <v>4231</v>
      </c>
      <c r="B315" s="325" t="s">
        <v>503</v>
      </c>
      <c r="C315" s="340" t="s">
        <v>350</v>
      </c>
      <c r="D315" s="326" t="s">
        <v>235</v>
      </c>
      <c r="E315" s="327">
        <v>150000</v>
      </c>
      <c r="F315" s="341">
        <v>0</v>
      </c>
      <c r="G315" s="341">
        <v>0</v>
      </c>
      <c r="H315" s="748">
        <v>0</v>
      </c>
      <c r="I315" s="791">
        <f t="shared" si="100"/>
        <v>-1</v>
      </c>
    </row>
    <row r="316" spans="1:11">
      <c r="A316" s="316" t="s">
        <v>390</v>
      </c>
      <c r="B316" s="317" t="s">
        <v>367</v>
      </c>
      <c r="C316" s="318" t="s">
        <v>232</v>
      </c>
      <c r="D316" s="319"/>
      <c r="E316" s="319">
        <f>E317+E325+E347</f>
        <v>6894083</v>
      </c>
      <c r="F316" s="319">
        <f>F317+F325+F347</f>
        <v>7246000</v>
      </c>
      <c r="G316" s="319">
        <f t="shared" ref="G316:H316" si="105">G317+G325+G347</f>
        <v>12718020</v>
      </c>
      <c r="H316" s="745">
        <f t="shared" si="105"/>
        <v>12723880</v>
      </c>
      <c r="I316" s="792">
        <f t="shared" si="100"/>
        <v>5.1046237766502085E-2</v>
      </c>
    </row>
    <row r="317" spans="1:11">
      <c r="A317" s="612" t="s">
        <v>272</v>
      </c>
      <c r="B317" s="613" t="s">
        <v>474</v>
      </c>
      <c r="C317" s="614" t="s">
        <v>232</v>
      </c>
      <c r="D317" s="621" t="s">
        <v>234</v>
      </c>
      <c r="E317" s="615">
        <f>E318+E320+E322</f>
        <v>855083</v>
      </c>
      <c r="F317" s="615">
        <f>F318+F320+F322</f>
        <v>1217000</v>
      </c>
      <c r="G317" s="615">
        <f t="shared" ref="G317:H317" si="106">G318+G320+G322</f>
        <v>1223020</v>
      </c>
      <c r="H317" s="746">
        <f t="shared" si="106"/>
        <v>1228880</v>
      </c>
      <c r="I317" s="791">
        <f t="shared" si="100"/>
        <v>0.42325364906096835</v>
      </c>
    </row>
    <row r="318" spans="1:11" hidden="1">
      <c r="A318" s="320" t="s">
        <v>1</v>
      </c>
      <c r="B318" s="321" t="s">
        <v>2</v>
      </c>
      <c r="C318" s="334" t="s">
        <v>232</v>
      </c>
      <c r="D318" s="702">
        <v>563</v>
      </c>
      <c r="E318" s="323">
        <f>SUM(E319:E319)</f>
        <v>729593</v>
      </c>
      <c r="F318" s="323">
        <f>SUM(F319:F319)</f>
        <v>1029000</v>
      </c>
      <c r="G318" s="323">
        <f t="shared" ref="G318:H318" si="107">SUM(G319:G319)</f>
        <v>1035000</v>
      </c>
      <c r="H318" s="747">
        <f t="shared" si="107"/>
        <v>1040000</v>
      </c>
      <c r="I318" s="791">
        <f t="shared" si="100"/>
        <v>0.41037537366723637</v>
      </c>
    </row>
    <row r="319" spans="1:11" hidden="1">
      <c r="A319" s="324" t="s">
        <v>3</v>
      </c>
      <c r="B319" s="325" t="s">
        <v>4</v>
      </c>
      <c r="C319" s="334" t="s">
        <v>232</v>
      </c>
      <c r="D319" s="334" t="s">
        <v>234</v>
      </c>
      <c r="E319" s="335">
        <v>729593</v>
      </c>
      <c r="F319" s="335">
        <v>1029000</v>
      </c>
      <c r="G319" s="335">
        <v>1035000</v>
      </c>
      <c r="H319" s="750">
        <v>1040000</v>
      </c>
      <c r="I319" s="791">
        <f t="shared" si="100"/>
        <v>0.41037537366723637</v>
      </c>
      <c r="J319" s="22"/>
      <c r="K319" s="22"/>
    </row>
    <row r="320" spans="1:11" hidden="1">
      <c r="A320" s="320" t="s">
        <v>7</v>
      </c>
      <c r="B320" s="321" t="s">
        <v>8</v>
      </c>
      <c r="C320" s="322" t="s">
        <v>232</v>
      </c>
      <c r="D320" s="322" t="s">
        <v>234</v>
      </c>
      <c r="E320" s="323">
        <f>SUM(E321:E321)</f>
        <v>0</v>
      </c>
      <c r="F320" s="323">
        <f>SUM(F321:F321)</f>
        <v>10000</v>
      </c>
      <c r="G320" s="323">
        <f>SUM(G321:G321)</f>
        <v>10000</v>
      </c>
      <c r="H320" s="747">
        <f>SUM(H321:H321)</f>
        <v>10000</v>
      </c>
      <c r="I320" s="791" t="e">
        <f t="shared" si="100"/>
        <v>#DIV/0!</v>
      </c>
    </row>
    <row r="321" spans="1:11" hidden="1">
      <c r="A321" s="324" t="s">
        <v>9</v>
      </c>
      <c r="B321" s="325" t="s">
        <v>8</v>
      </c>
      <c r="C321" s="334" t="s">
        <v>232</v>
      </c>
      <c r="D321" s="334" t="s">
        <v>234</v>
      </c>
      <c r="E321" s="335">
        <v>0</v>
      </c>
      <c r="F321" s="335">
        <v>10000</v>
      </c>
      <c r="G321" s="335">
        <v>10000</v>
      </c>
      <c r="H321" s="750">
        <v>10000</v>
      </c>
      <c r="I321" s="791" t="e">
        <f t="shared" si="100"/>
        <v>#DIV/0!</v>
      </c>
      <c r="K321" s="22"/>
    </row>
    <row r="322" spans="1:11" hidden="1">
      <c r="A322" s="320" t="s">
        <v>10</v>
      </c>
      <c r="B322" s="321" t="s">
        <v>11</v>
      </c>
      <c r="C322" s="322" t="s">
        <v>232</v>
      </c>
      <c r="D322" s="322" t="s">
        <v>234</v>
      </c>
      <c r="E322" s="323">
        <f>SUM(E323:E324)</f>
        <v>125490</v>
      </c>
      <c r="F322" s="323">
        <f>SUM(F323:F324)</f>
        <v>178000</v>
      </c>
      <c r="G322" s="323">
        <f t="shared" ref="G322:H322" si="108">SUM(G323:G324)</f>
        <v>178020</v>
      </c>
      <c r="H322" s="747">
        <f t="shared" si="108"/>
        <v>178880</v>
      </c>
      <c r="I322" s="791">
        <f t="shared" si="100"/>
        <v>0.41843971631205673</v>
      </c>
    </row>
    <row r="323" spans="1:11" hidden="1">
      <c r="A323" s="324" t="s">
        <v>12</v>
      </c>
      <c r="B323" s="325" t="s">
        <v>13</v>
      </c>
      <c r="C323" s="334" t="s">
        <v>232</v>
      </c>
      <c r="D323" s="334" t="s">
        <v>234</v>
      </c>
      <c r="E323" s="335">
        <v>113087</v>
      </c>
      <c r="F323" s="335">
        <v>160000</v>
      </c>
      <c r="G323" s="335">
        <f>G319*15.5%</f>
        <v>160425</v>
      </c>
      <c r="H323" s="750">
        <f>H319*15.5%</f>
        <v>161200</v>
      </c>
      <c r="I323" s="791">
        <f t="shared" si="100"/>
        <v>0.41483990202233678</v>
      </c>
    </row>
    <row r="324" spans="1:11" hidden="1">
      <c r="A324" s="324" t="s">
        <v>14</v>
      </c>
      <c r="B324" s="325" t="s">
        <v>15</v>
      </c>
      <c r="C324" s="334" t="s">
        <v>232</v>
      </c>
      <c r="D324" s="334" t="s">
        <v>234</v>
      </c>
      <c r="E324" s="335">
        <v>12403</v>
      </c>
      <c r="F324" s="335">
        <v>18000</v>
      </c>
      <c r="G324" s="335">
        <f>G319*1.7%</f>
        <v>17595</v>
      </c>
      <c r="H324" s="750">
        <f>H319*1.7%</f>
        <v>17680</v>
      </c>
      <c r="I324" s="791">
        <f t="shared" si="100"/>
        <v>0.45126179150205598</v>
      </c>
    </row>
    <row r="325" spans="1:11">
      <c r="A325" s="625">
        <v>-32</v>
      </c>
      <c r="B325" s="620" t="s">
        <v>476</v>
      </c>
      <c r="C325" s="614" t="s">
        <v>232</v>
      </c>
      <c r="D325" s="614" t="s">
        <v>234</v>
      </c>
      <c r="E325" s="615">
        <f>E326+E331+E334+E341+E343</f>
        <v>5833000</v>
      </c>
      <c r="F325" s="615">
        <f>F326+F331+F334+F341+F343</f>
        <v>5929000</v>
      </c>
      <c r="G325" s="615">
        <f t="shared" ref="G325:H325" si="109">G326+G331+G334+G341+G343</f>
        <v>11395000</v>
      </c>
      <c r="H325" s="746">
        <f t="shared" si="109"/>
        <v>11395000</v>
      </c>
      <c r="I325" s="791">
        <f t="shared" si="100"/>
        <v>1.6458083319046801E-2</v>
      </c>
    </row>
    <row r="326" spans="1:11" hidden="1">
      <c r="A326" s="320" t="s">
        <v>16</v>
      </c>
      <c r="B326" s="321" t="s">
        <v>17</v>
      </c>
      <c r="C326" s="322" t="s">
        <v>232</v>
      </c>
      <c r="D326" s="322">
        <v>563</v>
      </c>
      <c r="E326" s="323">
        <f>SUM(E327:E330)</f>
        <v>495000</v>
      </c>
      <c r="F326" s="323">
        <f>SUM(F327:F330)</f>
        <v>506000</v>
      </c>
      <c r="G326" s="323">
        <f t="shared" ref="G326:H326" si="110">SUM(G327:G330)</f>
        <v>465000</v>
      </c>
      <c r="H326" s="747">
        <f t="shared" si="110"/>
        <v>465000</v>
      </c>
      <c r="I326" s="791">
        <f t="shared" si="100"/>
        <v>2.2222222222222223E-2</v>
      </c>
    </row>
    <row r="327" spans="1:11" hidden="1">
      <c r="A327" s="324" t="s">
        <v>18</v>
      </c>
      <c r="B327" s="325" t="s">
        <v>19</v>
      </c>
      <c r="C327" s="334" t="s">
        <v>232</v>
      </c>
      <c r="D327" s="334" t="s">
        <v>234</v>
      </c>
      <c r="E327" s="335">
        <v>345000</v>
      </c>
      <c r="F327" s="335">
        <v>300000</v>
      </c>
      <c r="G327" s="335">
        <v>300000</v>
      </c>
      <c r="H327" s="750">
        <v>300000</v>
      </c>
      <c r="I327" s="791">
        <f t="shared" si="100"/>
        <v>-0.13043478260869565</v>
      </c>
      <c r="J327" s="22"/>
      <c r="K327" s="22"/>
    </row>
    <row r="328" spans="1:11" hidden="1">
      <c r="A328" s="324" t="s">
        <v>20</v>
      </c>
      <c r="B328" s="325" t="s">
        <v>21</v>
      </c>
      <c r="C328" s="334" t="s">
        <v>232</v>
      </c>
      <c r="D328" s="334" t="s">
        <v>234</v>
      </c>
      <c r="E328" s="335">
        <v>15000</v>
      </c>
      <c r="F328" s="335">
        <v>56000</v>
      </c>
      <c r="G328" s="335">
        <v>15000</v>
      </c>
      <c r="H328" s="750">
        <v>15000</v>
      </c>
      <c r="I328" s="791">
        <f t="shared" si="100"/>
        <v>2.7333333333333334</v>
      </c>
    </row>
    <row r="329" spans="1:11" hidden="1">
      <c r="A329" s="324" t="s">
        <v>22</v>
      </c>
      <c r="B329" s="325" t="s">
        <v>23</v>
      </c>
      <c r="C329" s="334" t="s">
        <v>232</v>
      </c>
      <c r="D329" s="334" t="s">
        <v>234</v>
      </c>
      <c r="E329" s="335">
        <v>135000</v>
      </c>
      <c r="F329" s="335">
        <v>150000</v>
      </c>
      <c r="G329" s="335">
        <v>150000</v>
      </c>
      <c r="H329" s="750">
        <v>150000</v>
      </c>
      <c r="I329" s="791">
        <f t="shared" si="100"/>
        <v>0.1111111111111111</v>
      </c>
    </row>
    <row r="330" spans="1:11" hidden="1">
      <c r="A330" s="336" t="s">
        <v>161</v>
      </c>
      <c r="B330" s="337" t="s">
        <v>335</v>
      </c>
      <c r="C330" s="334" t="s">
        <v>232</v>
      </c>
      <c r="D330" s="334" t="s">
        <v>234</v>
      </c>
      <c r="E330" s="335">
        <f>10200-10200</f>
        <v>0</v>
      </c>
      <c r="F330" s="335">
        <v>0</v>
      </c>
      <c r="G330" s="335">
        <v>0</v>
      </c>
      <c r="H330" s="750">
        <v>0</v>
      </c>
      <c r="I330" s="791" t="e">
        <f t="shared" si="100"/>
        <v>#DIV/0!</v>
      </c>
    </row>
    <row r="331" spans="1:11" hidden="1">
      <c r="A331" s="320" t="s">
        <v>24</v>
      </c>
      <c r="B331" s="321" t="s">
        <v>25</v>
      </c>
      <c r="C331" s="322" t="s">
        <v>232</v>
      </c>
      <c r="D331" s="322" t="s">
        <v>234</v>
      </c>
      <c r="E331" s="323">
        <f>SUM(E332:E333)</f>
        <v>50000</v>
      </c>
      <c r="F331" s="323">
        <f>SUM(F332:F333)</f>
        <v>50000</v>
      </c>
      <c r="G331" s="323">
        <f>SUM(G332:G333)</f>
        <v>50000</v>
      </c>
      <c r="H331" s="747">
        <f>SUM(H332:H333)</f>
        <v>50000</v>
      </c>
      <c r="I331" s="791">
        <f t="shared" si="100"/>
        <v>0</v>
      </c>
    </row>
    <row r="332" spans="1:11" hidden="1">
      <c r="A332" s="324" t="s">
        <v>26</v>
      </c>
      <c r="B332" s="325" t="s">
        <v>27</v>
      </c>
      <c r="C332" s="334" t="s">
        <v>232</v>
      </c>
      <c r="D332" s="334" t="s">
        <v>234</v>
      </c>
      <c r="E332" s="335">
        <f>31875-31875</f>
        <v>0</v>
      </c>
      <c r="F332" s="335">
        <v>0</v>
      </c>
      <c r="G332" s="335">
        <v>0</v>
      </c>
      <c r="H332" s="750">
        <v>0</v>
      </c>
      <c r="I332" s="791" t="e">
        <f t="shared" si="100"/>
        <v>#DIV/0!</v>
      </c>
    </row>
    <row r="333" spans="1:11" hidden="1">
      <c r="A333" s="324" t="s">
        <v>28</v>
      </c>
      <c r="B333" s="330" t="s">
        <v>29</v>
      </c>
      <c r="C333" s="334" t="s">
        <v>232</v>
      </c>
      <c r="D333" s="334" t="s">
        <v>234</v>
      </c>
      <c r="E333" s="335">
        <v>50000</v>
      </c>
      <c r="F333" s="335">
        <v>50000</v>
      </c>
      <c r="G333" s="335">
        <v>50000</v>
      </c>
      <c r="H333" s="750">
        <v>50000</v>
      </c>
      <c r="I333" s="791">
        <f t="shared" si="100"/>
        <v>0</v>
      </c>
    </row>
    <row r="334" spans="1:11" hidden="1">
      <c r="A334" s="320" t="s">
        <v>34</v>
      </c>
      <c r="B334" s="321" t="s">
        <v>35</v>
      </c>
      <c r="C334" s="322" t="s">
        <v>232</v>
      </c>
      <c r="D334" s="322">
        <v>563</v>
      </c>
      <c r="E334" s="323">
        <f>SUM(E335:E340)</f>
        <v>4492000</v>
      </c>
      <c r="F334" s="323">
        <f>SUM(F335:F340)</f>
        <v>4527000</v>
      </c>
      <c r="G334" s="323">
        <f t="shared" ref="G334:H334" si="111">SUM(G335:G340)</f>
        <v>10530000</v>
      </c>
      <c r="H334" s="747">
        <f t="shared" si="111"/>
        <v>10530000</v>
      </c>
      <c r="I334" s="791">
        <f t="shared" si="100"/>
        <v>7.7916295636687441E-3</v>
      </c>
    </row>
    <row r="335" spans="1:11" hidden="1">
      <c r="A335" s="324" t="s">
        <v>36</v>
      </c>
      <c r="B335" s="325" t="s">
        <v>37</v>
      </c>
      <c r="C335" s="334" t="s">
        <v>232</v>
      </c>
      <c r="D335" s="334" t="s">
        <v>234</v>
      </c>
      <c r="E335" s="335">
        <v>20000</v>
      </c>
      <c r="F335" s="335">
        <v>50000</v>
      </c>
      <c r="G335" s="335">
        <v>50000</v>
      </c>
      <c r="H335" s="750">
        <v>50000</v>
      </c>
      <c r="I335" s="791">
        <f t="shared" si="100"/>
        <v>1.5</v>
      </c>
    </row>
    <row r="336" spans="1:11" hidden="1">
      <c r="A336" s="324" t="s">
        <v>40</v>
      </c>
      <c r="B336" s="325" t="s">
        <v>41</v>
      </c>
      <c r="C336" s="334" t="s">
        <v>232</v>
      </c>
      <c r="D336" s="334" t="s">
        <v>234</v>
      </c>
      <c r="E336" s="335">
        <v>300000</v>
      </c>
      <c r="F336" s="335">
        <v>300000</v>
      </c>
      <c r="G336" s="335">
        <v>300000</v>
      </c>
      <c r="H336" s="750">
        <v>300000</v>
      </c>
      <c r="I336" s="791">
        <f t="shared" si="100"/>
        <v>0</v>
      </c>
    </row>
    <row r="337" spans="1:11" hidden="1">
      <c r="A337" s="324" t="s">
        <v>42</v>
      </c>
      <c r="B337" s="325" t="s">
        <v>43</v>
      </c>
      <c r="C337" s="334" t="s">
        <v>232</v>
      </c>
      <c r="D337" s="334" t="s">
        <v>234</v>
      </c>
      <c r="E337" s="335">
        <v>25000</v>
      </c>
      <c r="F337" s="335">
        <v>30000</v>
      </c>
      <c r="G337" s="335">
        <v>30000</v>
      </c>
      <c r="H337" s="750">
        <v>30000</v>
      </c>
      <c r="I337" s="791">
        <f t="shared" si="100"/>
        <v>0.2</v>
      </c>
    </row>
    <row r="338" spans="1:11" hidden="1">
      <c r="A338" s="324" t="s">
        <v>48</v>
      </c>
      <c r="B338" s="325" t="s">
        <v>49</v>
      </c>
      <c r="C338" s="334" t="s">
        <v>232</v>
      </c>
      <c r="D338" s="334" t="s">
        <v>234</v>
      </c>
      <c r="E338" s="335">
        <v>3997000</v>
      </c>
      <c r="F338" s="335">
        <v>3997000</v>
      </c>
      <c r="G338" s="335">
        <v>10000000</v>
      </c>
      <c r="H338" s="750">
        <v>10000000</v>
      </c>
      <c r="I338" s="791">
        <f t="shared" si="100"/>
        <v>0</v>
      </c>
    </row>
    <row r="339" spans="1:11" hidden="1">
      <c r="A339" s="324" t="s">
        <v>50</v>
      </c>
      <c r="B339" s="325" t="s">
        <v>51</v>
      </c>
      <c r="C339" s="334" t="s">
        <v>232</v>
      </c>
      <c r="D339" s="334" t="s">
        <v>234</v>
      </c>
      <c r="E339" s="335">
        <v>0</v>
      </c>
      <c r="F339" s="335">
        <v>0</v>
      </c>
      <c r="G339" s="335">
        <v>0</v>
      </c>
      <c r="H339" s="750">
        <v>0</v>
      </c>
      <c r="I339" s="791" t="e">
        <f t="shared" si="100"/>
        <v>#DIV/0!</v>
      </c>
      <c r="J339" s="466"/>
    </row>
    <row r="340" spans="1:11" hidden="1">
      <c r="A340" s="324" t="s">
        <v>52</v>
      </c>
      <c r="B340" s="325" t="s">
        <v>53</v>
      </c>
      <c r="C340" s="334" t="s">
        <v>232</v>
      </c>
      <c r="D340" s="334" t="s">
        <v>234</v>
      </c>
      <c r="E340" s="335">
        <v>150000</v>
      </c>
      <c r="F340" s="335">
        <v>150000</v>
      </c>
      <c r="G340" s="335">
        <v>150000</v>
      </c>
      <c r="H340" s="750">
        <v>150000</v>
      </c>
      <c r="I340" s="791">
        <f t="shared" si="100"/>
        <v>0</v>
      </c>
      <c r="J340" s="264"/>
    </row>
    <row r="341" spans="1:11" hidden="1">
      <c r="A341" s="332" t="s">
        <v>54</v>
      </c>
      <c r="B341" s="321" t="s">
        <v>55</v>
      </c>
      <c r="C341" s="322" t="s">
        <v>232</v>
      </c>
      <c r="D341" s="322" t="s">
        <v>234</v>
      </c>
      <c r="E341" s="323">
        <f>SUM(E342:E342)</f>
        <v>696000</v>
      </c>
      <c r="F341" s="323">
        <f>SUM(F342:F342)</f>
        <v>696000</v>
      </c>
      <c r="G341" s="323">
        <f>SUM(G342:G342)</f>
        <v>200000</v>
      </c>
      <c r="H341" s="747">
        <f>SUM(H342:H342)</f>
        <v>200000</v>
      </c>
      <c r="I341" s="791">
        <f t="shared" si="100"/>
        <v>0</v>
      </c>
    </row>
    <row r="342" spans="1:11" hidden="1">
      <c r="A342" s="339">
        <v>3241</v>
      </c>
      <c r="B342" s="337" t="s">
        <v>55</v>
      </c>
      <c r="C342" s="334" t="s">
        <v>232</v>
      </c>
      <c r="D342" s="334" t="s">
        <v>234</v>
      </c>
      <c r="E342" s="335">
        <v>696000</v>
      </c>
      <c r="F342" s="335">
        <v>696000</v>
      </c>
      <c r="G342" s="335">
        <v>200000</v>
      </c>
      <c r="H342" s="750">
        <v>200000</v>
      </c>
      <c r="I342" s="791">
        <f t="shared" si="100"/>
        <v>0</v>
      </c>
      <c r="J342" s="466"/>
    </row>
    <row r="343" spans="1:11" hidden="1">
      <c r="A343" s="332" t="s">
        <v>57</v>
      </c>
      <c r="B343" s="321" t="s">
        <v>58</v>
      </c>
      <c r="C343" s="322" t="s">
        <v>232</v>
      </c>
      <c r="D343" s="322" t="s">
        <v>234</v>
      </c>
      <c r="E343" s="323">
        <f>SUM(E344:E346)</f>
        <v>100000</v>
      </c>
      <c r="F343" s="323">
        <f>SUM(F344:F346)</f>
        <v>150000</v>
      </c>
      <c r="G343" s="323">
        <f>SUM(G344:G346)</f>
        <v>150000</v>
      </c>
      <c r="H343" s="747">
        <f>SUM(H344:H346)</f>
        <v>150000</v>
      </c>
      <c r="I343" s="791">
        <f t="shared" si="100"/>
        <v>0.5</v>
      </c>
      <c r="J343" s="264"/>
    </row>
    <row r="344" spans="1:11" hidden="1">
      <c r="A344" s="339" t="s">
        <v>63</v>
      </c>
      <c r="B344" s="337" t="s">
        <v>64</v>
      </c>
      <c r="C344" s="334" t="s">
        <v>232</v>
      </c>
      <c r="D344" s="334" t="s">
        <v>234</v>
      </c>
      <c r="E344" s="335">
        <v>50000</v>
      </c>
      <c r="F344" s="335">
        <v>100000</v>
      </c>
      <c r="G344" s="335">
        <v>100000</v>
      </c>
      <c r="H344" s="750">
        <v>100000</v>
      </c>
      <c r="I344" s="791">
        <f t="shared" si="100"/>
        <v>1</v>
      </c>
      <c r="J344" s="466"/>
    </row>
    <row r="345" spans="1:11" hidden="1">
      <c r="A345" s="324">
        <v>3295</v>
      </c>
      <c r="B345" s="325" t="s">
        <v>68</v>
      </c>
      <c r="C345" s="334" t="s">
        <v>232</v>
      </c>
      <c r="D345" s="334" t="s">
        <v>234</v>
      </c>
      <c r="E345" s="335">
        <v>0</v>
      </c>
      <c r="F345" s="335">
        <v>0</v>
      </c>
      <c r="G345" s="335">
        <v>0</v>
      </c>
      <c r="H345" s="750">
        <v>0</v>
      </c>
      <c r="I345" s="791" t="e">
        <f t="shared" si="100"/>
        <v>#DIV/0!</v>
      </c>
      <c r="J345" s="264"/>
    </row>
    <row r="346" spans="1:11" hidden="1">
      <c r="A346" s="324">
        <v>3299</v>
      </c>
      <c r="B346" s="325" t="s">
        <v>58</v>
      </c>
      <c r="C346" s="334" t="s">
        <v>232</v>
      </c>
      <c r="D346" s="334" t="s">
        <v>234</v>
      </c>
      <c r="E346" s="335">
        <v>50000</v>
      </c>
      <c r="F346" s="335">
        <v>50000</v>
      </c>
      <c r="G346" s="335">
        <v>50000</v>
      </c>
      <c r="H346" s="750">
        <v>50000</v>
      </c>
      <c r="I346" s="791">
        <f t="shared" si="100"/>
        <v>0</v>
      </c>
    </row>
    <row r="347" spans="1:11">
      <c r="A347" s="708" t="s">
        <v>481</v>
      </c>
      <c r="B347" s="613" t="s">
        <v>480</v>
      </c>
      <c r="C347" s="613" t="s">
        <v>232</v>
      </c>
      <c r="D347" s="613" t="s">
        <v>234</v>
      </c>
      <c r="E347" s="659">
        <f>E348</f>
        <v>206000</v>
      </c>
      <c r="F347" s="659">
        <f>F348</f>
        <v>100000</v>
      </c>
      <c r="G347" s="659">
        <f t="shared" ref="G347:H347" si="112">G348</f>
        <v>100000</v>
      </c>
      <c r="H347" s="757">
        <f t="shared" si="112"/>
        <v>100000</v>
      </c>
      <c r="I347" s="791">
        <f t="shared" si="100"/>
        <v>-0.5145631067961165</v>
      </c>
    </row>
    <row r="348" spans="1:11" hidden="1">
      <c r="A348" s="320" t="s">
        <v>88</v>
      </c>
      <c r="B348" s="321" t="s">
        <v>89</v>
      </c>
      <c r="C348" s="322" t="s">
        <v>232</v>
      </c>
      <c r="D348" s="322">
        <v>563</v>
      </c>
      <c r="E348" s="323">
        <f>SUM(E349:E350)</f>
        <v>206000</v>
      </c>
      <c r="F348" s="323">
        <f>SUM(F349:F350)</f>
        <v>100000</v>
      </c>
      <c r="G348" s="323">
        <f t="shared" ref="G348:H348" si="113">SUM(G349:G350)</f>
        <v>100000</v>
      </c>
      <c r="H348" s="747">
        <f t="shared" si="113"/>
        <v>100000</v>
      </c>
      <c r="I348" s="791">
        <f t="shared" si="100"/>
        <v>-0.5145631067961165</v>
      </c>
      <c r="J348" s="265"/>
    </row>
    <row r="349" spans="1:11" hidden="1">
      <c r="A349" s="324" t="s">
        <v>90</v>
      </c>
      <c r="B349" s="325" t="s">
        <v>91</v>
      </c>
      <c r="C349" s="334" t="s">
        <v>232</v>
      </c>
      <c r="D349" s="334" t="s">
        <v>234</v>
      </c>
      <c r="E349" s="335">
        <v>206000</v>
      </c>
      <c r="F349" s="335">
        <v>50000</v>
      </c>
      <c r="G349" s="335">
        <v>50000</v>
      </c>
      <c r="H349" s="750">
        <v>50000</v>
      </c>
      <c r="I349" s="791">
        <f t="shared" si="100"/>
        <v>-0.75728155339805825</v>
      </c>
      <c r="J349" s="22"/>
      <c r="K349" s="22"/>
    </row>
    <row r="350" spans="1:11" hidden="1">
      <c r="A350" s="324">
        <v>4222</v>
      </c>
      <c r="B350" s="325" t="s">
        <v>93</v>
      </c>
      <c r="C350" s="334" t="s">
        <v>232</v>
      </c>
      <c r="D350" s="334" t="s">
        <v>234</v>
      </c>
      <c r="E350" s="335"/>
      <c r="F350" s="335">
        <v>50000</v>
      </c>
      <c r="G350" s="335">
        <v>50000</v>
      </c>
      <c r="H350" s="750">
        <v>50000</v>
      </c>
      <c r="I350" s="791" t="e">
        <f t="shared" si="100"/>
        <v>#DIV/0!</v>
      </c>
      <c r="J350" s="22"/>
      <c r="K350" s="22"/>
    </row>
    <row r="351" spans="1:11">
      <c r="A351" s="347" t="s">
        <v>391</v>
      </c>
      <c r="B351" s="347" t="s">
        <v>356</v>
      </c>
      <c r="C351" s="318" t="s">
        <v>232</v>
      </c>
      <c r="D351" s="319"/>
      <c r="E351" s="319">
        <f>E352+E353+E374+E375+E422+E423+E428+E429</f>
        <v>1433100</v>
      </c>
      <c r="F351" s="319">
        <f>F352+F353+F374+F375+F422+F423+F428+F429</f>
        <v>2526869.29</v>
      </c>
      <c r="G351" s="319">
        <f>G352+G353+G374+G375+G422+G423+G428+G429</f>
        <v>2262430.0099999998</v>
      </c>
      <c r="H351" s="745">
        <f>H352+H353+H374+H375+H422+H423+H428+H429</f>
        <v>2143492.0099999998</v>
      </c>
      <c r="I351" s="792">
        <f t="shared" si="100"/>
        <v>0.76321909845788849</v>
      </c>
      <c r="J351" s="265"/>
      <c r="K351" s="265"/>
    </row>
    <row r="352" spans="1:11">
      <c r="A352" s="612" t="s">
        <v>272</v>
      </c>
      <c r="B352" s="613" t="s">
        <v>474</v>
      </c>
      <c r="C352" s="614" t="s">
        <v>232</v>
      </c>
      <c r="D352" s="621" t="s">
        <v>82</v>
      </c>
      <c r="E352" s="615">
        <f>E355+E359+E365</f>
        <v>92600</v>
      </c>
      <c r="F352" s="615">
        <f>F355+F359+F365</f>
        <v>270103</v>
      </c>
      <c r="G352" s="615">
        <f t="shared" ref="G352:H353" si="114">G355+G359+G365</f>
        <v>270350</v>
      </c>
      <c r="H352" s="746">
        <f t="shared" si="114"/>
        <v>271750</v>
      </c>
      <c r="I352" s="791">
        <f t="shared" si="100"/>
        <v>1.916879049676026</v>
      </c>
      <c r="J352" s="265"/>
      <c r="K352" s="265"/>
    </row>
    <row r="353" spans="1:14">
      <c r="A353" s="612" t="s">
        <v>272</v>
      </c>
      <c r="B353" s="613" t="s">
        <v>474</v>
      </c>
      <c r="C353" s="614" t="s">
        <v>232</v>
      </c>
      <c r="D353" s="621" t="s">
        <v>234</v>
      </c>
      <c r="E353" s="615">
        <f>E356+E360+E366</f>
        <v>523500</v>
      </c>
      <c r="F353" s="615">
        <f>F356+F360+F366</f>
        <v>1531477</v>
      </c>
      <c r="G353" s="615">
        <f t="shared" si="114"/>
        <v>1408250</v>
      </c>
      <c r="H353" s="746">
        <f t="shared" si="114"/>
        <v>1414850</v>
      </c>
      <c r="I353" s="791">
        <f t="shared" si="100"/>
        <v>1.9254574976122254</v>
      </c>
      <c r="J353" s="265"/>
      <c r="K353" s="265"/>
    </row>
    <row r="354" spans="1:14">
      <c r="A354" s="612" t="s">
        <v>534</v>
      </c>
      <c r="B354" s="613" t="s">
        <v>474</v>
      </c>
      <c r="C354" s="614" t="s">
        <v>232</v>
      </c>
      <c r="D354" s="621" t="s">
        <v>235</v>
      </c>
      <c r="E354" s="615">
        <v>0</v>
      </c>
      <c r="F354" s="615"/>
      <c r="G354" s="615"/>
      <c r="H354" s="746"/>
      <c r="I354" s="793"/>
      <c r="J354" s="265"/>
      <c r="K354" s="265"/>
    </row>
    <row r="355" spans="1:14" hidden="1">
      <c r="A355" s="320" t="s">
        <v>1</v>
      </c>
      <c r="B355" s="321" t="s">
        <v>2</v>
      </c>
      <c r="C355" s="333" t="s">
        <v>232</v>
      </c>
      <c r="D355" s="715" t="s">
        <v>82</v>
      </c>
      <c r="E355" s="348">
        <f>E357</f>
        <v>78900</v>
      </c>
      <c r="F355" s="331">
        <f>F357</f>
        <v>226708</v>
      </c>
      <c r="G355" s="331">
        <f t="shared" ref="G355:H356" si="115">G357</f>
        <v>227800</v>
      </c>
      <c r="H355" s="749">
        <f t="shared" si="115"/>
        <v>229000</v>
      </c>
      <c r="I355" s="791">
        <f t="shared" ref="I355:I360" si="116">(F355-E355)/E355</f>
        <v>1.8733586818757921</v>
      </c>
      <c r="J355" s="22"/>
      <c r="K355" s="22"/>
    </row>
    <row r="356" spans="1:14" hidden="1">
      <c r="A356" s="320" t="s">
        <v>1</v>
      </c>
      <c r="B356" s="321" t="s">
        <v>2</v>
      </c>
      <c r="C356" s="333" t="s">
        <v>232</v>
      </c>
      <c r="D356" s="715" t="s">
        <v>234</v>
      </c>
      <c r="E356" s="348">
        <f>E358</f>
        <v>446600</v>
      </c>
      <c r="F356" s="331">
        <f>F358</f>
        <v>1285543</v>
      </c>
      <c r="G356" s="331">
        <f t="shared" si="115"/>
        <v>1168200</v>
      </c>
      <c r="H356" s="749">
        <f t="shared" si="115"/>
        <v>1174000</v>
      </c>
      <c r="I356" s="791">
        <f t="shared" si="116"/>
        <v>1.8785109717868338</v>
      </c>
      <c r="J356" s="22"/>
      <c r="K356" s="22"/>
    </row>
    <row r="357" spans="1:14" hidden="1">
      <c r="A357" s="324" t="s">
        <v>3</v>
      </c>
      <c r="B357" s="325" t="s">
        <v>4</v>
      </c>
      <c r="C357" s="340" t="s">
        <v>232</v>
      </c>
      <c r="D357" s="326" t="s">
        <v>82</v>
      </c>
      <c r="E357" s="341">
        <v>78900</v>
      </c>
      <c r="F357" s="341">
        <f>195200+31508</f>
        <v>226708</v>
      </c>
      <c r="G357" s="341">
        <v>227800</v>
      </c>
      <c r="H357" s="748">
        <v>229000</v>
      </c>
      <c r="I357" s="791">
        <f t="shared" si="116"/>
        <v>1.8733586818757921</v>
      </c>
      <c r="J357" s="22"/>
      <c r="K357" s="22"/>
      <c r="L357" s="22"/>
      <c r="M357" s="463"/>
      <c r="N357" s="789"/>
    </row>
    <row r="358" spans="1:14" hidden="1">
      <c r="A358" s="324" t="s">
        <v>3</v>
      </c>
      <c r="B358" s="325" t="s">
        <v>4</v>
      </c>
      <c r="C358" s="340" t="s">
        <v>232</v>
      </c>
      <c r="D358" s="340" t="s">
        <v>234</v>
      </c>
      <c r="E358" s="341">
        <v>446600</v>
      </c>
      <c r="F358" s="341">
        <f>1107000+178543</f>
        <v>1285543</v>
      </c>
      <c r="G358" s="341">
        <v>1168200</v>
      </c>
      <c r="H358" s="748">
        <v>1174000</v>
      </c>
      <c r="I358" s="791">
        <f t="shared" si="116"/>
        <v>1.8785109717868338</v>
      </c>
      <c r="J358" s="22"/>
      <c r="K358" s="22"/>
      <c r="L358" s="22"/>
    </row>
    <row r="359" spans="1:14" hidden="1">
      <c r="A359" s="320" t="s">
        <v>7</v>
      </c>
      <c r="B359" s="321" t="s">
        <v>8</v>
      </c>
      <c r="C359" s="333" t="s">
        <v>232</v>
      </c>
      <c r="D359" s="333" t="s">
        <v>82</v>
      </c>
      <c r="E359" s="331">
        <f>E362</f>
        <v>0</v>
      </c>
      <c r="F359" s="331">
        <f>F362</f>
        <v>4275</v>
      </c>
      <c r="G359" s="331">
        <f t="shared" ref="G359:H360" si="117">G362</f>
        <v>3150</v>
      </c>
      <c r="H359" s="749">
        <f t="shared" si="117"/>
        <v>3150</v>
      </c>
      <c r="I359" s="791" t="e">
        <f t="shared" si="116"/>
        <v>#DIV/0!</v>
      </c>
      <c r="J359" s="22"/>
      <c r="K359" s="790"/>
      <c r="L359" s="22"/>
    </row>
    <row r="360" spans="1:14" hidden="1">
      <c r="A360" s="320" t="s">
        <v>7</v>
      </c>
      <c r="B360" s="321" t="s">
        <v>8</v>
      </c>
      <c r="C360" s="333" t="s">
        <v>232</v>
      </c>
      <c r="D360" s="333" t="s">
        <v>234</v>
      </c>
      <c r="E360" s="331">
        <f>E363</f>
        <v>0</v>
      </c>
      <c r="F360" s="331">
        <f>F363</f>
        <v>24225</v>
      </c>
      <c r="G360" s="331">
        <f t="shared" si="117"/>
        <v>17850</v>
      </c>
      <c r="H360" s="749">
        <f t="shared" si="117"/>
        <v>17850</v>
      </c>
      <c r="I360" s="791" t="e">
        <f t="shared" si="116"/>
        <v>#DIV/0!</v>
      </c>
      <c r="J360" s="22"/>
      <c r="K360" s="790"/>
      <c r="L360" s="22"/>
    </row>
    <row r="361" spans="1:14" hidden="1">
      <c r="A361" s="320" t="s">
        <v>530</v>
      </c>
      <c r="B361" s="321" t="s">
        <v>8</v>
      </c>
      <c r="C361" s="333" t="s">
        <v>232</v>
      </c>
      <c r="D361" s="333" t="s">
        <v>235</v>
      </c>
      <c r="E361" s="331">
        <v>0</v>
      </c>
      <c r="F361" s="331"/>
      <c r="G361" s="331"/>
      <c r="H361" s="749"/>
      <c r="I361" s="793"/>
      <c r="J361" s="22"/>
      <c r="K361" s="790"/>
      <c r="L361" s="22"/>
    </row>
    <row r="362" spans="1:14" hidden="1">
      <c r="A362" s="324" t="s">
        <v>9</v>
      </c>
      <c r="B362" s="325" t="s">
        <v>8</v>
      </c>
      <c r="C362" s="340" t="s">
        <v>232</v>
      </c>
      <c r="D362" s="340" t="s">
        <v>82</v>
      </c>
      <c r="E362" s="341">
        <v>0</v>
      </c>
      <c r="F362" s="341">
        <f>3150+1125</f>
        <v>4275</v>
      </c>
      <c r="G362" s="341">
        <v>3150</v>
      </c>
      <c r="H362" s="748">
        <v>3150</v>
      </c>
      <c r="I362" s="791" t="e">
        <f>(F362-E362)/E362</f>
        <v>#DIV/0!</v>
      </c>
      <c r="J362" s="22"/>
      <c r="K362" s="790"/>
      <c r="L362" s="22"/>
    </row>
    <row r="363" spans="1:14" hidden="1">
      <c r="A363" s="324">
        <v>3121</v>
      </c>
      <c r="B363" s="325" t="s">
        <v>8</v>
      </c>
      <c r="C363" s="340" t="s">
        <v>232</v>
      </c>
      <c r="D363" s="340" t="s">
        <v>234</v>
      </c>
      <c r="E363" s="341">
        <v>0</v>
      </c>
      <c r="F363" s="341">
        <f>17850+6375</f>
        <v>24225</v>
      </c>
      <c r="G363" s="341">
        <v>17850</v>
      </c>
      <c r="H363" s="748">
        <v>17850</v>
      </c>
      <c r="I363" s="791" t="e">
        <f>(F363-E363)/E363</f>
        <v>#DIV/0!</v>
      </c>
      <c r="J363" s="22"/>
      <c r="K363" s="22"/>
      <c r="L363" s="22"/>
    </row>
    <row r="364" spans="1:14" hidden="1">
      <c r="A364" s="324">
        <v>3121</v>
      </c>
      <c r="B364" s="325" t="s">
        <v>8</v>
      </c>
      <c r="C364" s="340" t="s">
        <v>232</v>
      </c>
      <c r="D364" s="340" t="s">
        <v>235</v>
      </c>
      <c r="E364" s="341">
        <v>0</v>
      </c>
      <c r="F364" s="341"/>
      <c r="G364" s="341"/>
      <c r="H364" s="748"/>
      <c r="I364" s="793"/>
      <c r="J364" s="22"/>
      <c r="K364" s="22"/>
      <c r="L364" s="22"/>
    </row>
    <row r="365" spans="1:14" hidden="1">
      <c r="A365" s="320" t="s">
        <v>10</v>
      </c>
      <c r="B365" s="321" t="s">
        <v>11</v>
      </c>
      <c r="C365" s="333" t="s">
        <v>232</v>
      </c>
      <c r="D365" s="333" t="s">
        <v>82</v>
      </c>
      <c r="E365" s="348">
        <f>E368+E371</f>
        <v>13700</v>
      </c>
      <c r="F365" s="331">
        <f t="shared" ref="F365:H366" si="118">F368+F371</f>
        <v>39120</v>
      </c>
      <c r="G365" s="331">
        <f t="shared" si="118"/>
        <v>39400</v>
      </c>
      <c r="H365" s="749">
        <f t="shared" si="118"/>
        <v>39600</v>
      </c>
      <c r="I365" s="791">
        <f>(F365-E365)/E365</f>
        <v>1.8554744525547446</v>
      </c>
      <c r="J365" s="265"/>
      <c r="L365" s="463"/>
      <c r="M365" s="463"/>
    </row>
    <row r="366" spans="1:14" hidden="1">
      <c r="A366" s="320" t="s">
        <v>10</v>
      </c>
      <c r="B366" s="321" t="s">
        <v>11</v>
      </c>
      <c r="C366" s="333" t="s">
        <v>232</v>
      </c>
      <c r="D366" s="333" t="s">
        <v>234</v>
      </c>
      <c r="E366" s="348">
        <f>E369+E372</f>
        <v>76900</v>
      </c>
      <c r="F366" s="331">
        <f t="shared" si="118"/>
        <v>221709</v>
      </c>
      <c r="G366" s="331">
        <f t="shared" si="118"/>
        <v>222200</v>
      </c>
      <c r="H366" s="749">
        <f t="shared" si="118"/>
        <v>223000</v>
      </c>
      <c r="I366" s="791">
        <f>(F366-E366)/E366</f>
        <v>1.8830819245773731</v>
      </c>
      <c r="J366" s="265"/>
      <c r="K366" s="790"/>
      <c r="L366" s="22"/>
      <c r="M366" s="22"/>
    </row>
    <row r="367" spans="1:14" hidden="1">
      <c r="A367" s="320" t="s">
        <v>531</v>
      </c>
      <c r="B367" s="321" t="s">
        <v>11</v>
      </c>
      <c r="C367" s="333" t="s">
        <v>232</v>
      </c>
      <c r="D367" s="333" t="s">
        <v>235</v>
      </c>
      <c r="E367" s="348">
        <v>0</v>
      </c>
      <c r="F367" s="331"/>
      <c r="G367" s="331"/>
      <c r="H367" s="749"/>
      <c r="I367" s="793"/>
      <c r="J367" s="265"/>
      <c r="K367" s="790"/>
      <c r="L367" s="22"/>
      <c r="M367" s="22"/>
    </row>
    <row r="368" spans="1:14" hidden="1">
      <c r="A368" s="324" t="s">
        <v>12</v>
      </c>
      <c r="B368" s="325" t="s">
        <v>13</v>
      </c>
      <c r="C368" s="340" t="s">
        <v>232</v>
      </c>
      <c r="D368" s="326" t="s">
        <v>82</v>
      </c>
      <c r="E368" s="341">
        <v>12300</v>
      </c>
      <c r="F368" s="341">
        <f>30300+4884</f>
        <v>35184</v>
      </c>
      <c r="G368" s="341">
        <v>35400</v>
      </c>
      <c r="H368" s="748">
        <v>35500</v>
      </c>
      <c r="I368" s="791">
        <f>(F368-E368)/E368</f>
        <v>1.8604878048780489</v>
      </c>
      <c r="K368" s="790"/>
      <c r="L368" s="22"/>
      <c r="M368" s="22"/>
    </row>
    <row r="369" spans="1:13" hidden="1">
      <c r="A369" s="324" t="s">
        <v>12</v>
      </c>
      <c r="B369" s="325" t="s">
        <v>13</v>
      </c>
      <c r="C369" s="340" t="s">
        <v>232</v>
      </c>
      <c r="D369" s="340" t="s">
        <v>234</v>
      </c>
      <c r="E369" s="341">
        <v>69300</v>
      </c>
      <c r="F369" s="341">
        <f>172000+27674</f>
        <v>199674</v>
      </c>
      <c r="G369" s="341">
        <v>200000</v>
      </c>
      <c r="H369" s="341">
        <v>200200</v>
      </c>
      <c r="I369" s="791">
        <f>(F369-E369)/E369</f>
        <v>1.8812987012987012</v>
      </c>
      <c r="K369" s="790"/>
      <c r="L369" s="22"/>
      <c r="M369" s="22"/>
    </row>
    <row r="370" spans="1:13" hidden="1">
      <c r="A370" s="324">
        <v>3132</v>
      </c>
      <c r="B370" s="325" t="s">
        <v>13</v>
      </c>
      <c r="C370" s="340" t="s">
        <v>232</v>
      </c>
      <c r="D370" s="340" t="s">
        <v>235</v>
      </c>
      <c r="E370" s="341">
        <v>0</v>
      </c>
      <c r="F370" s="341"/>
      <c r="G370" s="341"/>
      <c r="H370" s="748"/>
      <c r="I370" s="793"/>
      <c r="K370" s="790"/>
      <c r="L370" s="22"/>
      <c r="M370" s="22"/>
    </row>
    <row r="371" spans="1:13" hidden="1">
      <c r="A371" s="324" t="s">
        <v>14</v>
      </c>
      <c r="B371" s="325" t="s">
        <v>293</v>
      </c>
      <c r="C371" s="340" t="s">
        <v>232</v>
      </c>
      <c r="D371" s="326" t="s">
        <v>82</v>
      </c>
      <c r="E371" s="341">
        <v>1400</v>
      </c>
      <c r="F371" s="341">
        <f>3400+536</f>
        <v>3936</v>
      </c>
      <c r="G371" s="341">
        <v>4000</v>
      </c>
      <c r="H371" s="748">
        <v>4100</v>
      </c>
      <c r="I371" s="791">
        <f>(F371-E371)/E371</f>
        <v>1.8114285714285714</v>
      </c>
      <c r="J371" s="265"/>
    </row>
    <row r="372" spans="1:13" hidden="1">
      <c r="A372" s="324" t="s">
        <v>14</v>
      </c>
      <c r="B372" s="325" t="s">
        <v>293</v>
      </c>
      <c r="C372" s="340" t="s">
        <v>232</v>
      </c>
      <c r="D372" s="340" t="s">
        <v>234</v>
      </c>
      <c r="E372" s="341">
        <v>7600</v>
      </c>
      <c r="F372" s="341">
        <f>19000+3035</f>
        <v>22035</v>
      </c>
      <c r="G372" s="341">
        <v>22200</v>
      </c>
      <c r="H372" s="748">
        <v>22800</v>
      </c>
      <c r="I372" s="791">
        <f>(F372-E372)/E372</f>
        <v>1.8993421052631578</v>
      </c>
      <c r="J372" s="265"/>
      <c r="K372" s="265"/>
    </row>
    <row r="373" spans="1:13" hidden="1">
      <c r="A373" s="324">
        <v>3133</v>
      </c>
      <c r="B373" s="325" t="s">
        <v>293</v>
      </c>
      <c r="C373" s="340" t="s">
        <v>232</v>
      </c>
      <c r="D373" s="340" t="s">
        <v>235</v>
      </c>
      <c r="E373" s="341">
        <v>0</v>
      </c>
      <c r="F373" s="341"/>
      <c r="G373" s="341"/>
      <c r="H373" s="748"/>
      <c r="I373" s="793"/>
      <c r="J373" s="265"/>
      <c r="K373" s="265"/>
    </row>
    <row r="374" spans="1:13">
      <c r="A374" s="625">
        <v>-32</v>
      </c>
      <c r="B374" s="620" t="s">
        <v>476</v>
      </c>
      <c r="C374" s="614" t="s">
        <v>232</v>
      </c>
      <c r="D374" s="614" t="s">
        <v>82</v>
      </c>
      <c r="E374" s="615">
        <f>E377+E387+E393+E412+E416</f>
        <v>120750</v>
      </c>
      <c r="F374" s="615">
        <f t="shared" ref="F374:H375" si="119">F377+F387+F393+F412+F416</f>
        <v>119484.09</v>
      </c>
      <c r="G374" s="615">
        <f t="shared" si="119"/>
        <v>87764.5</v>
      </c>
      <c r="H374" s="746">
        <f t="shared" si="119"/>
        <v>68934.25</v>
      </c>
      <c r="I374" s="791">
        <f>(F374-E374)/E374</f>
        <v>-1.0483726708074563E-2</v>
      </c>
      <c r="J374" s="265"/>
      <c r="K374" s="265"/>
    </row>
    <row r="375" spans="1:13">
      <c r="A375" s="625" t="s">
        <v>519</v>
      </c>
      <c r="B375" s="620" t="s">
        <v>476</v>
      </c>
      <c r="C375" s="614" t="s">
        <v>232</v>
      </c>
      <c r="D375" s="614" t="s">
        <v>234</v>
      </c>
      <c r="E375" s="615">
        <f>E378+E388+E394+E413+E417</f>
        <v>684250</v>
      </c>
      <c r="F375" s="615">
        <f t="shared" si="119"/>
        <v>605805.19999999995</v>
      </c>
      <c r="G375" s="615">
        <f t="shared" si="119"/>
        <v>496065.51</v>
      </c>
      <c r="H375" s="746">
        <f t="shared" si="119"/>
        <v>387957.76000000001</v>
      </c>
      <c r="I375" s="791">
        <f>(F375-E375)/E375</f>
        <v>-0.11464347826086964</v>
      </c>
    </row>
    <row r="376" spans="1:13">
      <c r="A376" s="625" t="s">
        <v>519</v>
      </c>
      <c r="B376" s="620" t="s">
        <v>476</v>
      </c>
      <c r="C376" s="614" t="s">
        <v>232</v>
      </c>
      <c r="D376" s="614" t="s">
        <v>235</v>
      </c>
      <c r="E376" s="615">
        <v>0</v>
      </c>
      <c r="F376" s="615">
        <f>F395</f>
        <v>250000</v>
      </c>
      <c r="G376" s="615">
        <f t="shared" ref="G376:H376" si="120">G395</f>
        <v>450000</v>
      </c>
      <c r="H376" s="746">
        <f t="shared" si="120"/>
        <v>700000</v>
      </c>
      <c r="I376" s="791" t="e">
        <f>(F376-E376)/E376</f>
        <v>#DIV/0!</v>
      </c>
    </row>
    <row r="377" spans="1:13" hidden="1">
      <c r="A377" s="320" t="s">
        <v>16</v>
      </c>
      <c r="B377" s="321" t="s">
        <v>17</v>
      </c>
      <c r="C377" s="333" t="s">
        <v>232</v>
      </c>
      <c r="D377" s="333" t="s">
        <v>82</v>
      </c>
      <c r="E377" s="331">
        <f>E380+E383+E385</f>
        <v>25470</v>
      </c>
      <c r="F377" s="331">
        <f>F380+F383+F385</f>
        <v>33897</v>
      </c>
      <c r="G377" s="331">
        <f t="shared" ref="G377:H378" si="121">G380+G383+G385</f>
        <v>23766</v>
      </c>
      <c r="H377" s="749">
        <f t="shared" si="121"/>
        <v>21516</v>
      </c>
      <c r="I377" s="791">
        <f>(F377-E377)/E377</f>
        <v>0.33085983510011779</v>
      </c>
      <c r="K377" s="265"/>
    </row>
    <row r="378" spans="1:13" hidden="1">
      <c r="A378" s="320" t="s">
        <v>16</v>
      </c>
      <c r="B378" s="321" t="s">
        <v>17</v>
      </c>
      <c r="C378" s="333" t="s">
        <v>232</v>
      </c>
      <c r="D378" s="333" t="s">
        <v>234</v>
      </c>
      <c r="E378" s="331">
        <f>E381+E384+E386</f>
        <v>144330</v>
      </c>
      <c r="F378" s="331">
        <f>F381+F384+F386</f>
        <v>189914</v>
      </c>
      <c r="G378" s="331">
        <f t="shared" si="121"/>
        <v>132507</v>
      </c>
      <c r="H378" s="749">
        <f t="shared" si="121"/>
        <v>119757</v>
      </c>
      <c r="I378" s="791">
        <f>(F378-E378)/E378</f>
        <v>0.3158317744058754</v>
      </c>
      <c r="K378" s="265"/>
    </row>
    <row r="379" spans="1:13" hidden="1">
      <c r="A379" s="320" t="s">
        <v>532</v>
      </c>
      <c r="B379" s="321" t="s">
        <v>17</v>
      </c>
      <c r="C379" s="333" t="s">
        <v>232</v>
      </c>
      <c r="D379" s="333" t="s">
        <v>235</v>
      </c>
      <c r="E379" s="331">
        <v>0</v>
      </c>
      <c r="F379" s="331"/>
      <c r="G379" s="331"/>
      <c r="H379" s="749"/>
      <c r="I379" s="793"/>
      <c r="K379" s="265"/>
    </row>
    <row r="380" spans="1:13" hidden="1">
      <c r="A380" s="324" t="s">
        <v>18</v>
      </c>
      <c r="B380" s="325" t="s">
        <v>19</v>
      </c>
      <c r="C380" s="340" t="s">
        <v>232</v>
      </c>
      <c r="D380" s="326" t="s">
        <v>82</v>
      </c>
      <c r="E380" s="341">
        <v>20646</v>
      </c>
      <c r="F380" s="341">
        <v>22697</v>
      </c>
      <c r="G380" s="341">
        <v>12566</v>
      </c>
      <c r="H380" s="748">
        <v>10316</v>
      </c>
      <c r="I380" s="791">
        <f>(F380-E380)/E380</f>
        <v>9.9341276760631606E-2</v>
      </c>
      <c r="K380" s="265"/>
    </row>
    <row r="381" spans="1:13" hidden="1">
      <c r="A381" s="324" t="s">
        <v>18</v>
      </c>
      <c r="B381" s="325" t="s">
        <v>19</v>
      </c>
      <c r="C381" s="340" t="s">
        <v>232</v>
      </c>
      <c r="D381" s="340" t="s">
        <v>234</v>
      </c>
      <c r="E381" s="341">
        <v>116994</v>
      </c>
      <c r="F381" s="341">
        <v>128614</v>
      </c>
      <c r="G381" s="341">
        <v>71207</v>
      </c>
      <c r="H381" s="748">
        <v>58457</v>
      </c>
      <c r="I381" s="791">
        <f>(F381-E381)/E381</f>
        <v>9.9321332717917155E-2</v>
      </c>
    </row>
    <row r="382" spans="1:13" hidden="1">
      <c r="A382" s="324">
        <v>3211</v>
      </c>
      <c r="B382" s="325" t="s">
        <v>19</v>
      </c>
      <c r="C382" s="340" t="s">
        <v>232</v>
      </c>
      <c r="D382" s="340" t="s">
        <v>235</v>
      </c>
      <c r="E382" s="341">
        <v>0</v>
      </c>
      <c r="F382" s="341"/>
      <c r="G382" s="341"/>
      <c r="H382" s="748"/>
      <c r="I382" s="793"/>
    </row>
    <row r="383" spans="1:13" hidden="1">
      <c r="A383" s="324">
        <v>3212</v>
      </c>
      <c r="B383" s="325" t="s">
        <v>520</v>
      </c>
      <c r="C383" s="340" t="s">
        <v>232</v>
      </c>
      <c r="D383" s="326" t="s">
        <v>82</v>
      </c>
      <c r="E383" s="341">
        <v>3654</v>
      </c>
      <c r="F383" s="341">
        <f>8500+2700</f>
        <v>11200</v>
      </c>
      <c r="G383" s="341">
        <f t="shared" ref="G383:H383" si="122">8500+2700</f>
        <v>11200</v>
      </c>
      <c r="H383" s="341">
        <f t="shared" si="122"/>
        <v>11200</v>
      </c>
      <c r="I383" s="791">
        <f t="shared" ref="I383:I388" si="123">(F383-E383)/E383</f>
        <v>2.0651340996168583</v>
      </c>
    </row>
    <row r="384" spans="1:13" hidden="1">
      <c r="A384" s="324">
        <v>3212</v>
      </c>
      <c r="B384" s="325" t="s">
        <v>520</v>
      </c>
      <c r="C384" s="340" t="s">
        <v>232</v>
      </c>
      <c r="D384" s="340" t="s">
        <v>234</v>
      </c>
      <c r="E384" s="341">
        <v>20706</v>
      </c>
      <c r="F384" s="341">
        <f>46000+15300</f>
        <v>61300</v>
      </c>
      <c r="G384" s="341">
        <f t="shared" ref="G384:H384" si="124">46000+15300</f>
        <v>61300</v>
      </c>
      <c r="H384" s="341">
        <f t="shared" si="124"/>
        <v>61300</v>
      </c>
      <c r="I384" s="791">
        <f t="shared" si="123"/>
        <v>1.9604945426446441</v>
      </c>
    </row>
    <row r="385" spans="1:9" hidden="1">
      <c r="A385" s="324">
        <v>3213</v>
      </c>
      <c r="B385" s="325" t="s">
        <v>23</v>
      </c>
      <c r="C385" s="340" t="s">
        <v>232</v>
      </c>
      <c r="D385" s="340" t="s">
        <v>82</v>
      </c>
      <c r="E385" s="341">
        <v>1170</v>
      </c>
      <c r="F385" s="341"/>
      <c r="G385" s="341"/>
      <c r="H385" s="748"/>
      <c r="I385" s="791">
        <f t="shared" si="123"/>
        <v>-1</v>
      </c>
    </row>
    <row r="386" spans="1:9" hidden="1">
      <c r="A386" s="324">
        <v>3213</v>
      </c>
      <c r="B386" s="325" t="s">
        <v>23</v>
      </c>
      <c r="C386" s="340" t="s">
        <v>232</v>
      </c>
      <c r="D386" s="340" t="s">
        <v>234</v>
      </c>
      <c r="E386" s="341">
        <v>6630</v>
      </c>
      <c r="F386" s="341"/>
      <c r="G386" s="341"/>
      <c r="H386" s="748"/>
      <c r="I386" s="791">
        <f t="shared" si="123"/>
        <v>-1</v>
      </c>
    </row>
    <row r="387" spans="1:9" hidden="1">
      <c r="A387" s="320" t="s">
        <v>24</v>
      </c>
      <c r="B387" s="321" t="s">
        <v>25</v>
      </c>
      <c r="C387" s="333" t="s">
        <v>232</v>
      </c>
      <c r="D387" s="630" t="s">
        <v>82</v>
      </c>
      <c r="E387" s="348">
        <f>E390</f>
        <v>13950</v>
      </c>
      <c r="F387" s="331">
        <f>F390</f>
        <v>24962</v>
      </c>
      <c r="G387" s="331">
        <f t="shared" ref="G387:H388" si="125">G390</f>
        <v>14686</v>
      </c>
      <c r="H387" s="749">
        <f t="shared" si="125"/>
        <v>8212</v>
      </c>
      <c r="I387" s="791">
        <f t="shared" si="123"/>
        <v>0.78939068100358423</v>
      </c>
    </row>
    <row r="388" spans="1:9" hidden="1">
      <c r="A388" s="320" t="s">
        <v>24</v>
      </c>
      <c r="B388" s="321" t="s">
        <v>25</v>
      </c>
      <c r="C388" s="333" t="s">
        <v>232</v>
      </c>
      <c r="D388" s="630" t="s">
        <v>234</v>
      </c>
      <c r="E388" s="348">
        <f>E391</f>
        <v>79050</v>
      </c>
      <c r="F388" s="331">
        <f>F391</f>
        <v>141449</v>
      </c>
      <c r="G388" s="331">
        <f t="shared" si="125"/>
        <v>83221</v>
      </c>
      <c r="H388" s="749">
        <f t="shared" si="125"/>
        <v>46532</v>
      </c>
      <c r="I388" s="791">
        <f t="shared" si="123"/>
        <v>0.78936116382036681</v>
      </c>
    </row>
    <row r="389" spans="1:9" hidden="1">
      <c r="A389" s="320" t="s">
        <v>533</v>
      </c>
      <c r="B389" s="321" t="s">
        <v>25</v>
      </c>
      <c r="C389" s="333" t="s">
        <v>232</v>
      </c>
      <c r="D389" s="630" t="s">
        <v>235</v>
      </c>
      <c r="E389" s="348">
        <v>0</v>
      </c>
      <c r="F389" s="331"/>
      <c r="G389" s="331"/>
      <c r="H389" s="749"/>
      <c r="I389" s="793"/>
    </row>
    <row r="390" spans="1:9" hidden="1">
      <c r="A390" s="324" t="s">
        <v>28</v>
      </c>
      <c r="B390" s="325" t="s">
        <v>29</v>
      </c>
      <c r="C390" s="340" t="s">
        <v>232</v>
      </c>
      <c r="D390" s="326" t="s">
        <v>82</v>
      </c>
      <c r="E390" s="341">
        <v>13950</v>
      </c>
      <c r="F390" s="341">
        <v>24962</v>
      </c>
      <c r="G390" s="341">
        <v>14686</v>
      </c>
      <c r="H390" s="748">
        <v>8212</v>
      </c>
      <c r="I390" s="791">
        <f>(F390-E390)/E390</f>
        <v>0.78939068100358423</v>
      </c>
    </row>
    <row r="391" spans="1:9" hidden="1">
      <c r="A391" s="324" t="s">
        <v>28</v>
      </c>
      <c r="B391" s="325" t="s">
        <v>29</v>
      </c>
      <c r="C391" s="340" t="s">
        <v>232</v>
      </c>
      <c r="D391" s="326" t="s">
        <v>234</v>
      </c>
      <c r="E391" s="341">
        <v>79050</v>
      </c>
      <c r="F391" s="341">
        <v>141449</v>
      </c>
      <c r="G391" s="341">
        <v>83221</v>
      </c>
      <c r="H391" s="748">
        <v>46532</v>
      </c>
      <c r="I391" s="791">
        <f>(F391-E391)/E391</f>
        <v>0.78936116382036681</v>
      </c>
    </row>
    <row r="392" spans="1:9" hidden="1">
      <c r="A392" s="324">
        <v>3224</v>
      </c>
      <c r="B392" s="325" t="s">
        <v>438</v>
      </c>
      <c r="C392" s="340" t="s">
        <v>232</v>
      </c>
      <c r="D392" s="326" t="s">
        <v>235</v>
      </c>
      <c r="E392" s="341">
        <v>0</v>
      </c>
      <c r="F392" s="341"/>
      <c r="G392" s="341"/>
      <c r="H392" s="748"/>
      <c r="I392" s="793"/>
    </row>
    <row r="393" spans="1:9" hidden="1">
      <c r="A393" s="320" t="s">
        <v>34</v>
      </c>
      <c r="B393" s="321" t="s">
        <v>35</v>
      </c>
      <c r="C393" s="333" t="s">
        <v>232</v>
      </c>
      <c r="D393" s="630" t="s">
        <v>82</v>
      </c>
      <c r="E393" s="348">
        <f>E396+E399+E401+E403+E409+E406</f>
        <v>59880</v>
      </c>
      <c r="F393" s="331">
        <f>F396+F399+F401+F403+F409+F406</f>
        <v>43260.27</v>
      </c>
      <c r="G393" s="331">
        <f>G396+G399+G401+G403+G409+G406</f>
        <v>36937.5</v>
      </c>
      <c r="H393" s="749">
        <f>H396+H399+H401+H403+H409+H406</f>
        <v>24018.75</v>
      </c>
      <c r="I393" s="791">
        <f t="shared" ref="I393:I407" si="126">(F393-E393)/E393</f>
        <v>-0.27755060120240488</v>
      </c>
    </row>
    <row r="394" spans="1:9" hidden="1">
      <c r="A394" s="320" t="s">
        <v>34</v>
      </c>
      <c r="B394" s="321" t="s">
        <v>35</v>
      </c>
      <c r="C394" s="333" t="s">
        <v>232</v>
      </c>
      <c r="D394" s="630" t="s">
        <v>234</v>
      </c>
      <c r="E394" s="348">
        <f>E397+E400+E402+E404+E407+E410</f>
        <v>339320</v>
      </c>
      <c r="F394" s="331">
        <f>F397+F400+F402+F404+F407+F410</f>
        <v>176041.53999999998</v>
      </c>
      <c r="G394" s="331">
        <f>G397+G400+G402+G404+G407+G410</f>
        <v>210212.51</v>
      </c>
      <c r="H394" s="749">
        <f>H397+H400+H402+H404+H407+H410</f>
        <v>136106.26</v>
      </c>
      <c r="I394" s="791">
        <f t="shared" si="126"/>
        <v>-0.48119315100789822</v>
      </c>
    </row>
    <row r="395" spans="1:9" hidden="1">
      <c r="A395" s="320" t="s">
        <v>34</v>
      </c>
      <c r="B395" s="321" t="s">
        <v>35</v>
      </c>
      <c r="C395" s="333" t="s">
        <v>232</v>
      </c>
      <c r="D395" s="630" t="s">
        <v>235</v>
      </c>
      <c r="E395" s="348">
        <v>0</v>
      </c>
      <c r="F395" s="331">
        <f>F398+F405</f>
        <v>250000</v>
      </c>
      <c r="G395" s="331">
        <f t="shared" ref="G395:H395" si="127">G398+G405</f>
        <v>450000</v>
      </c>
      <c r="H395" s="749">
        <f t="shared" si="127"/>
        <v>700000</v>
      </c>
      <c r="I395" s="791" t="e">
        <f t="shared" si="126"/>
        <v>#DIV/0!</v>
      </c>
    </row>
    <row r="396" spans="1:9" hidden="1">
      <c r="A396" s="324" t="s">
        <v>40</v>
      </c>
      <c r="B396" s="325" t="s">
        <v>41</v>
      </c>
      <c r="C396" s="340" t="s">
        <v>232</v>
      </c>
      <c r="D396" s="326" t="s">
        <v>82</v>
      </c>
      <c r="E396" s="341">
        <v>1830</v>
      </c>
      <c r="F396" s="341">
        <v>8250</v>
      </c>
      <c r="G396" s="341">
        <v>6750</v>
      </c>
      <c r="H396" s="748">
        <v>5625</v>
      </c>
      <c r="I396" s="791">
        <f t="shared" si="126"/>
        <v>3.5081967213114753</v>
      </c>
    </row>
    <row r="397" spans="1:9" hidden="1">
      <c r="A397" s="324" t="s">
        <v>40</v>
      </c>
      <c r="B397" s="325" t="s">
        <v>41</v>
      </c>
      <c r="C397" s="340" t="s">
        <v>232</v>
      </c>
      <c r="D397" s="326" t="s">
        <v>234</v>
      </c>
      <c r="E397" s="341">
        <v>10370</v>
      </c>
      <c r="F397" s="341">
        <v>46750</v>
      </c>
      <c r="G397" s="341">
        <v>38250</v>
      </c>
      <c r="H397" s="748">
        <v>31875</v>
      </c>
      <c r="I397" s="791">
        <f t="shared" si="126"/>
        <v>3.5081967213114753</v>
      </c>
    </row>
    <row r="398" spans="1:9" hidden="1">
      <c r="A398" s="324" t="s">
        <v>40</v>
      </c>
      <c r="B398" s="325" t="s">
        <v>41</v>
      </c>
      <c r="C398" s="340" t="s">
        <v>232</v>
      </c>
      <c r="D398" s="326" t="s">
        <v>235</v>
      </c>
      <c r="E398" s="341">
        <v>0</v>
      </c>
      <c r="F398" s="341">
        <v>45000</v>
      </c>
      <c r="G398" s="341"/>
      <c r="H398" s="748"/>
      <c r="I398" s="791" t="e">
        <f t="shared" si="126"/>
        <v>#DIV/0!</v>
      </c>
    </row>
    <row r="399" spans="1:9" hidden="1">
      <c r="A399" s="324">
        <v>3224</v>
      </c>
      <c r="B399" s="325" t="s">
        <v>438</v>
      </c>
      <c r="C399" s="340" t="s">
        <v>232</v>
      </c>
      <c r="D399" s="326" t="s">
        <v>82</v>
      </c>
      <c r="E399" s="341">
        <v>0</v>
      </c>
      <c r="F399" s="341"/>
      <c r="G399" s="341"/>
      <c r="H399" s="748"/>
      <c r="I399" s="791" t="e">
        <f t="shared" si="126"/>
        <v>#DIV/0!</v>
      </c>
    </row>
    <row r="400" spans="1:9" hidden="1">
      <c r="A400" s="324">
        <v>3224</v>
      </c>
      <c r="B400" s="325" t="s">
        <v>438</v>
      </c>
      <c r="C400" s="340" t="s">
        <v>232</v>
      </c>
      <c r="D400" s="326" t="s">
        <v>234</v>
      </c>
      <c r="E400" s="341">
        <v>0</v>
      </c>
      <c r="F400" s="341"/>
      <c r="G400" s="341"/>
      <c r="H400" s="748"/>
      <c r="I400" s="791" t="e">
        <f t="shared" si="126"/>
        <v>#DIV/0!</v>
      </c>
    </row>
    <row r="401" spans="1:9" hidden="1">
      <c r="A401" s="324" t="s">
        <v>44</v>
      </c>
      <c r="B401" s="325" t="s">
        <v>45</v>
      </c>
      <c r="C401" s="340" t="s">
        <v>232</v>
      </c>
      <c r="D401" s="326" t="s">
        <v>82</v>
      </c>
      <c r="E401" s="341">
        <v>2850</v>
      </c>
      <c r="F401" s="341">
        <v>3644.52</v>
      </c>
      <c r="G401" s="341">
        <v>2625</v>
      </c>
      <c r="H401" s="748">
        <v>2062.5</v>
      </c>
      <c r="I401" s="791">
        <f t="shared" si="126"/>
        <v>0.27877894736842107</v>
      </c>
    </row>
    <row r="402" spans="1:9" hidden="1">
      <c r="A402" s="324">
        <v>3235</v>
      </c>
      <c r="B402" s="325" t="s">
        <v>45</v>
      </c>
      <c r="C402" s="340" t="s">
        <v>232</v>
      </c>
      <c r="D402" s="326" t="s">
        <v>234</v>
      </c>
      <c r="E402" s="341">
        <v>16150</v>
      </c>
      <c r="F402" s="341">
        <v>20652.28</v>
      </c>
      <c r="G402" s="341">
        <v>14875</v>
      </c>
      <c r="H402" s="748">
        <v>11687.5</v>
      </c>
      <c r="I402" s="791">
        <f t="shared" si="126"/>
        <v>0.27877894736842096</v>
      </c>
    </row>
    <row r="403" spans="1:9" hidden="1">
      <c r="A403" s="324" t="s">
        <v>48</v>
      </c>
      <c r="B403" s="325" t="s">
        <v>49</v>
      </c>
      <c r="C403" s="340" t="s">
        <v>232</v>
      </c>
      <c r="D403" s="326" t="s">
        <v>82</v>
      </c>
      <c r="E403" s="341">
        <v>50250</v>
      </c>
      <c r="F403" s="341">
        <v>17969.12</v>
      </c>
      <c r="G403" s="341">
        <v>16694.12</v>
      </c>
      <c r="H403" s="748">
        <v>7147.06</v>
      </c>
      <c r="I403" s="791">
        <f t="shared" si="126"/>
        <v>-0.64240557213930349</v>
      </c>
    </row>
    <row r="404" spans="1:9" hidden="1">
      <c r="A404" s="324" t="s">
        <v>48</v>
      </c>
      <c r="B404" s="325" t="s">
        <v>49</v>
      </c>
      <c r="C404" s="340" t="s">
        <v>232</v>
      </c>
      <c r="D404" s="326" t="s">
        <v>234</v>
      </c>
      <c r="E404" s="341">
        <v>284750</v>
      </c>
      <c r="F404" s="341">
        <v>32725</v>
      </c>
      <c r="G404" s="341">
        <v>95500</v>
      </c>
      <c r="H404" s="748">
        <v>40500</v>
      </c>
      <c r="I404" s="791">
        <f t="shared" si="126"/>
        <v>-0.88507462686567162</v>
      </c>
    </row>
    <row r="405" spans="1:9" hidden="1">
      <c r="A405" s="324" t="s">
        <v>48</v>
      </c>
      <c r="B405" s="325" t="s">
        <v>49</v>
      </c>
      <c r="C405" s="340" t="s">
        <v>232</v>
      </c>
      <c r="D405" s="326" t="s">
        <v>235</v>
      </c>
      <c r="E405" s="341">
        <v>0</v>
      </c>
      <c r="F405" s="341">
        <v>205000</v>
      </c>
      <c r="G405" s="341">
        <v>450000</v>
      </c>
      <c r="H405" s="748">
        <v>700000</v>
      </c>
      <c r="I405" s="791" t="e">
        <f t="shared" si="126"/>
        <v>#DIV/0!</v>
      </c>
    </row>
    <row r="406" spans="1:9" hidden="1">
      <c r="A406" s="324">
        <v>3238</v>
      </c>
      <c r="B406" s="325" t="s">
        <v>51</v>
      </c>
      <c r="C406" s="340" t="s">
        <v>232</v>
      </c>
      <c r="D406" s="326" t="s">
        <v>82</v>
      </c>
      <c r="E406" s="341"/>
      <c r="F406" s="341"/>
      <c r="G406" s="341"/>
      <c r="H406" s="748"/>
      <c r="I406" s="791" t="e">
        <f t="shared" si="126"/>
        <v>#DIV/0!</v>
      </c>
    </row>
    <row r="407" spans="1:9" hidden="1">
      <c r="A407" s="324">
        <v>3238</v>
      </c>
      <c r="B407" s="325" t="s">
        <v>51</v>
      </c>
      <c r="C407" s="340" t="s">
        <v>232</v>
      </c>
      <c r="D407" s="326" t="s">
        <v>234</v>
      </c>
      <c r="E407" s="341"/>
      <c r="F407" s="341"/>
      <c r="G407" s="341"/>
      <c r="H407" s="748"/>
      <c r="I407" s="791" t="e">
        <f t="shared" si="126"/>
        <v>#DIV/0!</v>
      </c>
    </row>
    <row r="408" spans="1:9" hidden="1">
      <c r="A408" s="324">
        <v>3238</v>
      </c>
      <c r="B408" s="325" t="s">
        <v>51</v>
      </c>
      <c r="C408" s="340" t="s">
        <v>232</v>
      </c>
      <c r="D408" s="326" t="s">
        <v>235</v>
      </c>
      <c r="E408" s="341">
        <v>0</v>
      </c>
      <c r="F408" s="341"/>
      <c r="G408" s="341"/>
      <c r="H408" s="748"/>
      <c r="I408" s="793"/>
    </row>
    <row r="409" spans="1:9" hidden="1">
      <c r="A409" s="324">
        <v>3239</v>
      </c>
      <c r="B409" s="325" t="s">
        <v>53</v>
      </c>
      <c r="C409" s="340" t="s">
        <v>232</v>
      </c>
      <c r="D409" s="326" t="s">
        <v>82</v>
      </c>
      <c r="E409" s="341">
        <v>4950</v>
      </c>
      <c r="F409" s="341">
        <v>13396.63</v>
      </c>
      <c r="G409" s="341">
        <v>10868.38</v>
      </c>
      <c r="H409" s="748">
        <v>9184.19</v>
      </c>
      <c r="I409" s="791">
        <f>(F409-E409)/E409</f>
        <v>1.7063898989898989</v>
      </c>
    </row>
    <row r="410" spans="1:9" hidden="1">
      <c r="A410" s="324">
        <v>3239</v>
      </c>
      <c r="B410" s="325" t="s">
        <v>53</v>
      </c>
      <c r="C410" s="340" t="s">
        <v>232</v>
      </c>
      <c r="D410" s="326" t="s">
        <v>234</v>
      </c>
      <c r="E410" s="341">
        <v>28050</v>
      </c>
      <c r="F410" s="341">
        <v>75914.259999999995</v>
      </c>
      <c r="G410" s="341">
        <v>61587.51</v>
      </c>
      <c r="H410" s="748">
        <v>52043.76</v>
      </c>
      <c r="I410" s="791">
        <f>(F410-E410)/E410</f>
        <v>1.7063907308377895</v>
      </c>
    </row>
    <row r="411" spans="1:9" hidden="1">
      <c r="A411" s="324">
        <v>3239</v>
      </c>
      <c r="B411" s="325" t="s">
        <v>53</v>
      </c>
      <c r="C411" s="340" t="s">
        <v>232</v>
      </c>
      <c r="D411" s="326" t="s">
        <v>235</v>
      </c>
      <c r="E411" s="341">
        <v>0</v>
      </c>
      <c r="F411" s="341"/>
      <c r="G411" s="341"/>
      <c r="H411" s="748"/>
      <c r="I411" s="793"/>
    </row>
    <row r="412" spans="1:9" hidden="1">
      <c r="A412" s="332" t="s">
        <v>54</v>
      </c>
      <c r="B412" s="321" t="s">
        <v>55</v>
      </c>
      <c r="C412" s="333" t="s">
        <v>232</v>
      </c>
      <c r="D412" s="333" t="s">
        <v>82</v>
      </c>
      <c r="E412" s="348">
        <f>E414</f>
        <v>8100</v>
      </c>
      <c r="F412" s="331">
        <f>F414</f>
        <v>13346.74</v>
      </c>
      <c r="G412" s="331">
        <f t="shared" ref="G412:H413" si="128">G414</f>
        <v>6750</v>
      </c>
      <c r="H412" s="749">
        <f t="shared" si="128"/>
        <v>10125</v>
      </c>
      <c r="I412" s="791">
        <f t="shared" ref="I412:I417" si="129">(F412-E412)/E412</f>
        <v>0.6477456790123457</v>
      </c>
    </row>
    <row r="413" spans="1:9" hidden="1">
      <c r="A413" s="332">
        <v>324</v>
      </c>
      <c r="B413" s="321" t="s">
        <v>55</v>
      </c>
      <c r="C413" s="333" t="s">
        <v>232</v>
      </c>
      <c r="D413" s="333" t="s">
        <v>234</v>
      </c>
      <c r="E413" s="348">
        <f>E415</f>
        <v>45900</v>
      </c>
      <c r="F413" s="331">
        <f>F415</f>
        <v>75631.539999999994</v>
      </c>
      <c r="G413" s="331">
        <f t="shared" si="128"/>
        <v>38250</v>
      </c>
      <c r="H413" s="749">
        <f t="shared" si="128"/>
        <v>56875</v>
      </c>
      <c r="I413" s="791">
        <f t="shared" si="129"/>
        <v>0.6477459694989105</v>
      </c>
    </row>
    <row r="414" spans="1:9" hidden="1">
      <c r="A414" s="339">
        <v>3241</v>
      </c>
      <c r="B414" s="337" t="s">
        <v>55</v>
      </c>
      <c r="C414" s="340" t="s">
        <v>232</v>
      </c>
      <c r="D414" s="340" t="s">
        <v>82</v>
      </c>
      <c r="E414" s="341">
        <v>8100</v>
      </c>
      <c r="F414" s="341">
        <v>13346.74</v>
      </c>
      <c r="G414" s="341">
        <v>6750</v>
      </c>
      <c r="H414" s="748">
        <v>10125</v>
      </c>
      <c r="I414" s="791">
        <f t="shared" si="129"/>
        <v>0.6477456790123457</v>
      </c>
    </row>
    <row r="415" spans="1:9" hidden="1">
      <c r="A415" s="324" t="s">
        <v>56</v>
      </c>
      <c r="B415" s="325" t="s">
        <v>55</v>
      </c>
      <c r="C415" s="340" t="s">
        <v>232</v>
      </c>
      <c r="D415" s="326" t="s">
        <v>234</v>
      </c>
      <c r="E415" s="341">
        <v>45900</v>
      </c>
      <c r="F415" s="341">
        <v>75631.539999999994</v>
      </c>
      <c r="G415" s="341">
        <v>38250</v>
      </c>
      <c r="H415" s="748">
        <v>56875</v>
      </c>
      <c r="I415" s="791">
        <f t="shared" si="129"/>
        <v>0.6477459694989105</v>
      </c>
    </row>
    <row r="416" spans="1:9" hidden="1">
      <c r="A416" s="332" t="s">
        <v>57</v>
      </c>
      <c r="B416" s="321" t="s">
        <v>58</v>
      </c>
      <c r="C416" s="333" t="s">
        <v>232</v>
      </c>
      <c r="D416" s="333" t="s">
        <v>82</v>
      </c>
      <c r="E416" s="348">
        <f>E419</f>
        <v>13350</v>
      </c>
      <c r="F416" s="331">
        <f>F419</f>
        <v>4018.08</v>
      </c>
      <c r="G416" s="331">
        <f t="shared" ref="G416:H417" si="130">G419</f>
        <v>5625</v>
      </c>
      <c r="H416" s="749">
        <f t="shared" si="130"/>
        <v>5062.5</v>
      </c>
      <c r="I416" s="791">
        <f t="shared" si="129"/>
        <v>-0.69902022471910108</v>
      </c>
    </row>
    <row r="417" spans="1:9" hidden="1">
      <c r="A417" s="332" t="s">
        <v>57</v>
      </c>
      <c r="B417" s="321" t="s">
        <v>58</v>
      </c>
      <c r="C417" s="333" t="s">
        <v>232</v>
      </c>
      <c r="D417" s="333" t="s">
        <v>234</v>
      </c>
      <c r="E417" s="348">
        <f>E420</f>
        <v>75650</v>
      </c>
      <c r="F417" s="331">
        <f>F420</f>
        <v>22769.119999999999</v>
      </c>
      <c r="G417" s="331">
        <f t="shared" si="130"/>
        <v>31875</v>
      </c>
      <c r="H417" s="749">
        <f t="shared" si="130"/>
        <v>28687.5</v>
      </c>
      <c r="I417" s="791">
        <f t="shared" si="129"/>
        <v>-0.69902022471910119</v>
      </c>
    </row>
    <row r="418" spans="1:9" hidden="1">
      <c r="A418" s="332">
        <v>329</v>
      </c>
      <c r="B418" s="321" t="s">
        <v>58</v>
      </c>
      <c r="C418" s="333" t="s">
        <v>232</v>
      </c>
      <c r="D418" s="333" t="s">
        <v>235</v>
      </c>
      <c r="E418" s="348">
        <v>0</v>
      </c>
      <c r="F418" s="331"/>
      <c r="G418" s="331"/>
      <c r="H418" s="749"/>
      <c r="I418" s="793"/>
    </row>
    <row r="419" spans="1:9" hidden="1">
      <c r="A419" s="324" t="s">
        <v>63</v>
      </c>
      <c r="B419" s="325" t="s">
        <v>64</v>
      </c>
      <c r="C419" s="340" t="s">
        <v>232</v>
      </c>
      <c r="D419" s="326" t="s">
        <v>82</v>
      </c>
      <c r="E419" s="341">
        <v>13350</v>
      </c>
      <c r="F419" s="341">
        <v>4018.08</v>
      </c>
      <c r="G419" s="341">
        <v>5625</v>
      </c>
      <c r="H419" s="748">
        <v>5062.5</v>
      </c>
      <c r="I419" s="791">
        <f>(F419-E419)/E419</f>
        <v>-0.69902022471910108</v>
      </c>
    </row>
    <row r="420" spans="1:9" hidden="1">
      <c r="A420" s="324" t="s">
        <v>63</v>
      </c>
      <c r="B420" s="325" t="s">
        <v>64</v>
      </c>
      <c r="C420" s="340" t="s">
        <v>232</v>
      </c>
      <c r="D420" s="326" t="s">
        <v>234</v>
      </c>
      <c r="E420" s="341">
        <v>75650</v>
      </c>
      <c r="F420" s="341">
        <v>22769.119999999999</v>
      </c>
      <c r="G420" s="341">
        <v>31875</v>
      </c>
      <c r="H420" s="748">
        <v>28687.5</v>
      </c>
      <c r="I420" s="791">
        <f>(F420-E420)/E420</f>
        <v>-0.69902022471910119</v>
      </c>
    </row>
    <row r="421" spans="1:9" hidden="1">
      <c r="A421" s="324">
        <v>3295</v>
      </c>
      <c r="B421" s="325" t="s">
        <v>68</v>
      </c>
      <c r="C421" s="340" t="s">
        <v>232</v>
      </c>
      <c r="D421" s="326" t="s">
        <v>235</v>
      </c>
      <c r="E421" s="341">
        <v>0</v>
      </c>
      <c r="F421" s="341"/>
      <c r="G421" s="341"/>
      <c r="H421" s="748"/>
      <c r="I421" s="793"/>
    </row>
    <row r="422" spans="1:9">
      <c r="A422" s="625" t="s">
        <v>485</v>
      </c>
      <c r="B422" s="620" t="s">
        <v>494</v>
      </c>
      <c r="C422" s="614" t="s">
        <v>232</v>
      </c>
      <c r="D422" s="614" t="s">
        <v>82</v>
      </c>
      <c r="E422" s="615">
        <f>E424</f>
        <v>0</v>
      </c>
      <c r="F422" s="615">
        <f>F424</f>
        <v>0</v>
      </c>
      <c r="G422" s="615">
        <f t="shared" ref="G422:H422" si="131">G424</f>
        <v>0</v>
      </c>
      <c r="H422" s="746">
        <f t="shared" si="131"/>
        <v>0</v>
      </c>
      <c r="I422" s="791" t="e">
        <f t="shared" ref="I422:I453" si="132">(F422-E422)/E422</f>
        <v>#DIV/0!</v>
      </c>
    </row>
    <row r="423" spans="1:9">
      <c r="A423" s="625">
        <v>37</v>
      </c>
      <c r="B423" s="620" t="s">
        <v>494</v>
      </c>
      <c r="C423" s="614" t="s">
        <v>232</v>
      </c>
      <c r="D423" s="614" t="s">
        <v>234</v>
      </c>
      <c r="E423" s="615">
        <f>E427</f>
        <v>0</v>
      </c>
      <c r="F423" s="615">
        <f>F427</f>
        <v>0</v>
      </c>
      <c r="G423" s="615">
        <f t="shared" ref="G423:H423" si="133">G427</f>
        <v>0</v>
      </c>
      <c r="H423" s="746">
        <f t="shared" si="133"/>
        <v>0</v>
      </c>
      <c r="I423" s="791" t="e">
        <f t="shared" si="132"/>
        <v>#DIV/0!</v>
      </c>
    </row>
    <row r="424" spans="1:9" hidden="1">
      <c r="A424" s="320" t="s">
        <v>173</v>
      </c>
      <c r="B424" s="321" t="s">
        <v>357</v>
      </c>
      <c r="C424" s="333" t="s">
        <v>232</v>
      </c>
      <c r="D424" s="630" t="s">
        <v>82</v>
      </c>
      <c r="E424" s="348">
        <f>E426</f>
        <v>0</v>
      </c>
      <c r="F424" s="331">
        <f>F426</f>
        <v>0</v>
      </c>
      <c r="G424" s="331">
        <f t="shared" ref="G424:H425" si="134">G426</f>
        <v>0</v>
      </c>
      <c r="H424" s="749">
        <f t="shared" si="134"/>
        <v>0</v>
      </c>
      <c r="I424" s="791" t="e">
        <f t="shared" si="132"/>
        <v>#DIV/0!</v>
      </c>
    </row>
    <row r="425" spans="1:9" hidden="1">
      <c r="A425" s="320" t="s">
        <v>173</v>
      </c>
      <c r="B425" s="321" t="s">
        <v>357</v>
      </c>
      <c r="C425" s="333" t="s">
        <v>232</v>
      </c>
      <c r="D425" s="630" t="s">
        <v>234</v>
      </c>
      <c r="E425" s="348">
        <f>E427</f>
        <v>0</v>
      </c>
      <c r="F425" s="331">
        <f>F427</f>
        <v>0</v>
      </c>
      <c r="G425" s="331">
        <f t="shared" si="134"/>
        <v>0</v>
      </c>
      <c r="H425" s="749">
        <f t="shared" si="134"/>
        <v>0</v>
      </c>
      <c r="I425" s="791" t="e">
        <f t="shared" si="132"/>
        <v>#DIV/0!</v>
      </c>
    </row>
    <row r="426" spans="1:9" hidden="1">
      <c r="A426" s="336" t="s">
        <v>174</v>
      </c>
      <c r="B426" s="337" t="s">
        <v>175</v>
      </c>
      <c r="C426" s="340" t="s">
        <v>232</v>
      </c>
      <c r="D426" s="326" t="s">
        <v>82</v>
      </c>
      <c r="E426" s="341">
        <v>0</v>
      </c>
      <c r="F426" s="341">
        <v>0</v>
      </c>
      <c r="G426" s="341">
        <v>0</v>
      </c>
      <c r="H426" s="748">
        <v>0</v>
      </c>
      <c r="I426" s="791" t="e">
        <f t="shared" si="132"/>
        <v>#DIV/0!</v>
      </c>
    </row>
    <row r="427" spans="1:9" hidden="1">
      <c r="A427" s="336" t="s">
        <v>515</v>
      </c>
      <c r="B427" s="337" t="s">
        <v>522</v>
      </c>
      <c r="C427" s="340" t="s">
        <v>495</v>
      </c>
      <c r="D427" s="326" t="s">
        <v>234</v>
      </c>
      <c r="E427" s="341"/>
      <c r="F427" s="341"/>
      <c r="G427" s="341"/>
      <c r="H427" s="748"/>
      <c r="I427" s="791" t="e">
        <f t="shared" si="132"/>
        <v>#DIV/0!</v>
      </c>
    </row>
    <row r="428" spans="1:9">
      <c r="A428" s="625">
        <v>42</v>
      </c>
      <c r="B428" s="620" t="s">
        <v>480</v>
      </c>
      <c r="C428" s="614" t="s">
        <v>232</v>
      </c>
      <c r="D428" s="614" t="s">
        <v>82</v>
      </c>
      <c r="E428" s="615">
        <f>E430</f>
        <v>1800</v>
      </c>
      <c r="F428" s="667">
        <f t="shared" ref="F428:H428" si="135">F430</f>
        <v>0</v>
      </c>
      <c r="G428" s="667">
        <f t="shared" si="135"/>
        <v>0</v>
      </c>
      <c r="H428" s="758">
        <f t="shared" si="135"/>
        <v>0</v>
      </c>
      <c r="I428" s="791">
        <f t="shared" si="132"/>
        <v>-1</v>
      </c>
    </row>
    <row r="429" spans="1:9">
      <c r="A429" s="625">
        <v>42</v>
      </c>
      <c r="B429" s="620" t="s">
        <v>480</v>
      </c>
      <c r="C429" s="614" t="s">
        <v>232</v>
      </c>
      <c r="D429" s="614" t="s">
        <v>234</v>
      </c>
      <c r="E429" s="615">
        <f>E433</f>
        <v>10200</v>
      </c>
      <c r="F429" s="667">
        <f t="shared" ref="F429:H429" si="136">F433</f>
        <v>0</v>
      </c>
      <c r="G429" s="667">
        <f t="shared" si="136"/>
        <v>0</v>
      </c>
      <c r="H429" s="758">
        <f t="shared" si="136"/>
        <v>0</v>
      </c>
      <c r="I429" s="791">
        <f t="shared" si="132"/>
        <v>-1</v>
      </c>
    </row>
    <row r="430" spans="1:9" hidden="1">
      <c r="A430" s="661">
        <v>422</v>
      </c>
      <c r="B430" s="662" t="s">
        <v>89</v>
      </c>
      <c r="C430" s="663" t="s">
        <v>232</v>
      </c>
      <c r="D430" s="663" t="s">
        <v>82</v>
      </c>
      <c r="E430" s="634">
        <f>E432</f>
        <v>1800</v>
      </c>
      <c r="F430" s="668">
        <f>F432</f>
        <v>0</v>
      </c>
      <c r="G430" s="668">
        <f t="shared" ref="G430:H431" si="137">SUM(G431:G432)</f>
        <v>0</v>
      </c>
      <c r="H430" s="759">
        <f t="shared" si="137"/>
        <v>0</v>
      </c>
      <c r="I430" s="791">
        <f t="shared" si="132"/>
        <v>-1</v>
      </c>
    </row>
    <row r="431" spans="1:9" hidden="1">
      <c r="A431" s="661" t="s">
        <v>88</v>
      </c>
      <c r="B431" s="662" t="s">
        <v>89</v>
      </c>
      <c r="C431" s="663" t="s">
        <v>232</v>
      </c>
      <c r="D431" s="663" t="s">
        <v>234</v>
      </c>
      <c r="E431" s="634">
        <f>E433</f>
        <v>10200</v>
      </c>
      <c r="F431" s="668">
        <f>F433</f>
        <v>0</v>
      </c>
      <c r="G431" s="668">
        <f t="shared" si="137"/>
        <v>0</v>
      </c>
      <c r="H431" s="759">
        <f t="shared" si="137"/>
        <v>0</v>
      </c>
      <c r="I431" s="791">
        <f t="shared" si="132"/>
        <v>-1</v>
      </c>
    </row>
    <row r="432" spans="1:9" hidden="1">
      <c r="A432" s="665">
        <v>4222</v>
      </c>
      <c r="B432" s="664" t="s">
        <v>93</v>
      </c>
      <c r="C432" s="666" t="s">
        <v>232</v>
      </c>
      <c r="D432" s="666" t="s">
        <v>82</v>
      </c>
      <c r="E432" s="638">
        <v>1800</v>
      </c>
      <c r="F432" s="669"/>
      <c r="G432" s="669"/>
      <c r="H432" s="760"/>
      <c r="I432" s="791">
        <f t="shared" si="132"/>
        <v>-1</v>
      </c>
    </row>
    <row r="433" spans="1:9" hidden="1">
      <c r="A433" s="336" t="s">
        <v>92</v>
      </c>
      <c r="B433" s="664" t="s">
        <v>93</v>
      </c>
      <c r="C433" s="340" t="s">
        <v>232</v>
      </c>
      <c r="D433" s="326" t="s">
        <v>234</v>
      </c>
      <c r="E433" s="341">
        <v>10200</v>
      </c>
      <c r="F433" s="341"/>
      <c r="G433" s="341"/>
      <c r="H433" s="748"/>
      <c r="I433" s="791">
        <f t="shared" si="132"/>
        <v>-1</v>
      </c>
    </row>
    <row r="434" spans="1:9">
      <c r="A434" s="316" t="s">
        <v>392</v>
      </c>
      <c r="B434" s="346" t="s">
        <v>351</v>
      </c>
      <c r="C434" s="318" t="s">
        <v>350</v>
      </c>
      <c r="D434" s="319"/>
      <c r="E434" s="319">
        <f>E436</f>
        <v>2905600</v>
      </c>
      <c r="F434" s="319">
        <f>F436</f>
        <v>2714736</v>
      </c>
      <c r="G434" s="319">
        <f t="shared" ref="G434:H434" si="138">G436</f>
        <v>2448336</v>
      </c>
      <c r="H434" s="745">
        <f t="shared" si="138"/>
        <v>2376336</v>
      </c>
      <c r="I434" s="792">
        <f t="shared" si="132"/>
        <v>-6.5688325991189428E-2</v>
      </c>
    </row>
    <row r="435" spans="1:9">
      <c r="A435" s="625" t="s">
        <v>486</v>
      </c>
      <c r="B435" s="620" t="s">
        <v>487</v>
      </c>
      <c r="C435" s="614" t="s">
        <v>350</v>
      </c>
      <c r="D435" s="614">
        <v>11</v>
      </c>
      <c r="E435" s="615">
        <f>E436</f>
        <v>2905600</v>
      </c>
      <c r="F435" s="615">
        <f>F436</f>
        <v>2714736</v>
      </c>
      <c r="G435" s="615">
        <f t="shared" ref="G435:H435" si="139">G436</f>
        <v>2448336</v>
      </c>
      <c r="H435" s="746">
        <f t="shared" si="139"/>
        <v>2376336</v>
      </c>
      <c r="I435" s="791">
        <f t="shared" si="132"/>
        <v>-6.5688325991189428E-2</v>
      </c>
    </row>
    <row r="436" spans="1:9" hidden="1">
      <c r="A436" s="320" t="s">
        <v>207</v>
      </c>
      <c r="B436" s="321" t="s">
        <v>352</v>
      </c>
      <c r="C436" s="322" t="s">
        <v>350</v>
      </c>
      <c r="D436" s="326">
        <v>11</v>
      </c>
      <c r="E436" s="351">
        <f>SUM(E437:E437)</f>
        <v>2905600</v>
      </c>
      <c r="F436" s="323">
        <f t="shared" ref="F436:H436" si="140">SUM(F437:F437)</f>
        <v>2714736</v>
      </c>
      <c r="G436" s="323">
        <f t="shared" si="140"/>
        <v>2448336</v>
      </c>
      <c r="H436" s="747">
        <f t="shared" si="140"/>
        <v>2376336</v>
      </c>
      <c r="I436" s="791">
        <f t="shared" si="132"/>
        <v>-6.5688325991189428E-2</v>
      </c>
    </row>
    <row r="437" spans="1:9" hidden="1">
      <c r="A437" s="324">
        <v>3512</v>
      </c>
      <c r="B437" s="325" t="s">
        <v>353</v>
      </c>
      <c r="C437" s="326" t="s">
        <v>350</v>
      </c>
      <c r="D437" s="326">
        <v>11</v>
      </c>
      <c r="E437" s="327">
        <v>2905600</v>
      </c>
      <c r="F437" s="341">
        <v>2714736</v>
      </c>
      <c r="G437" s="341">
        <v>2448336</v>
      </c>
      <c r="H437" s="761">
        <v>2376336</v>
      </c>
      <c r="I437" s="791">
        <f t="shared" si="132"/>
        <v>-6.5688325991189428E-2</v>
      </c>
    </row>
    <row r="438" spans="1:9">
      <c r="A438" s="625" t="s">
        <v>489</v>
      </c>
      <c r="B438" s="620" t="s">
        <v>490</v>
      </c>
      <c r="C438" s="614" t="s">
        <v>350</v>
      </c>
      <c r="D438" s="614" t="s">
        <v>0</v>
      </c>
      <c r="E438" s="615">
        <f>E439</f>
        <v>0</v>
      </c>
      <c r="F438" s="615">
        <f>F439</f>
        <v>0</v>
      </c>
      <c r="G438" s="615">
        <f t="shared" ref="G438:H438" si="141">G439</f>
        <v>0</v>
      </c>
      <c r="H438" s="746">
        <f t="shared" si="141"/>
        <v>0</v>
      </c>
      <c r="I438" s="791" t="e">
        <f t="shared" si="132"/>
        <v>#DIV/0!</v>
      </c>
    </row>
    <row r="439" spans="1:9" hidden="1">
      <c r="A439" s="642">
        <v>381</v>
      </c>
      <c r="B439" s="643" t="s">
        <v>354</v>
      </c>
      <c r="C439" s="644" t="s">
        <v>350</v>
      </c>
      <c r="D439" s="639" t="s">
        <v>0</v>
      </c>
      <c r="E439" s="645">
        <f>E440</f>
        <v>0</v>
      </c>
      <c r="F439" s="645">
        <f t="shared" ref="F439:H439" si="142">F440</f>
        <v>0</v>
      </c>
      <c r="G439" s="645">
        <f t="shared" si="142"/>
        <v>0</v>
      </c>
      <c r="H439" s="762">
        <f t="shared" si="142"/>
        <v>0</v>
      </c>
      <c r="I439" s="791" t="e">
        <f t="shared" si="132"/>
        <v>#DIV/0!</v>
      </c>
    </row>
    <row r="440" spans="1:9" hidden="1">
      <c r="A440" s="646">
        <v>3811</v>
      </c>
      <c r="B440" s="647" t="s">
        <v>81</v>
      </c>
      <c r="C440" s="648" t="s">
        <v>350</v>
      </c>
      <c r="D440" s="648" t="s">
        <v>0</v>
      </c>
      <c r="E440" s="649">
        <v>0</v>
      </c>
      <c r="F440" s="650">
        <v>0</v>
      </c>
      <c r="G440" s="650">
        <v>0</v>
      </c>
      <c r="H440" s="763">
        <v>0</v>
      </c>
      <c r="I440" s="791" t="e">
        <f t="shared" si="132"/>
        <v>#DIV/0!</v>
      </c>
    </row>
    <row r="441" spans="1:9">
      <c r="A441" s="346" t="s">
        <v>501</v>
      </c>
      <c r="B441" s="346" t="s">
        <v>500</v>
      </c>
      <c r="C441" s="346">
        <v>442</v>
      </c>
      <c r="D441" s="346"/>
      <c r="E441" s="319">
        <f>E442+E451+E465</f>
        <v>18676013</v>
      </c>
      <c r="F441" s="658">
        <f>F442+F451+F465</f>
        <v>18934300</v>
      </c>
      <c r="G441" s="658">
        <f t="shared" ref="G441:H441" si="143">G442+G451+G465</f>
        <v>31662813</v>
      </c>
      <c r="H441" s="764">
        <f t="shared" si="143"/>
        <v>10880456.5</v>
      </c>
      <c r="I441" s="792">
        <f t="shared" si="132"/>
        <v>1.3829879000405493E-2</v>
      </c>
    </row>
    <row r="442" spans="1:9">
      <c r="A442" s="612" t="s">
        <v>272</v>
      </c>
      <c r="B442" s="613" t="s">
        <v>474</v>
      </c>
      <c r="C442" s="614" t="s">
        <v>232</v>
      </c>
      <c r="D442" s="621" t="s">
        <v>234</v>
      </c>
      <c r="E442" s="615">
        <f>E443+E448</f>
        <v>402813</v>
      </c>
      <c r="F442" s="659">
        <f>F443+F448+F446</f>
        <v>578200</v>
      </c>
      <c r="G442" s="659">
        <f t="shared" ref="G442:H442" si="144">G443+G448+G446</f>
        <v>554113</v>
      </c>
      <c r="H442" s="757">
        <f t="shared" si="144"/>
        <v>282056.5</v>
      </c>
      <c r="I442" s="791">
        <f t="shared" si="132"/>
        <v>0.43540551074568101</v>
      </c>
    </row>
    <row r="443" spans="1:9" hidden="1">
      <c r="A443" s="320" t="s">
        <v>1</v>
      </c>
      <c r="B443" s="321" t="s">
        <v>2</v>
      </c>
      <c r="C443" s="654" t="s">
        <v>232</v>
      </c>
      <c r="D443" s="653">
        <v>563</v>
      </c>
      <c r="E443" s="331">
        <f>SUM(E444:E445)</f>
        <v>343700</v>
      </c>
      <c r="F443" s="656">
        <f>SUM(F444:F445)</f>
        <v>485000</v>
      </c>
      <c r="G443" s="656">
        <f t="shared" ref="G443:H443" si="145">SUM(G444:G445)</f>
        <v>485000</v>
      </c>
      <c r="H443" s="765">
        <f t="shared" si="145"/>
        <v>242500</v>
      </c>
      <c r="I443" s="791">
        <f t="shared" si="132"/>
        <v>0.41111434390456791</v>
      </c>
    </row>
    <row r="444" spans="1:9" hidden="1">
      <c r="A444" s="640">
        <v>3111</v>
      </c>
      <c r="B444" s="325" t="s">
        <v>4</v>
      </c>
      <c r="C444" s="655" t="s">
        <v>232</v>
      </c>
      <c r="D444" s="640">
        <v>563</v>
      </c>
      <c r="E444" s="327">
        <v>343700</v>
      </c>
      <c r="F444" s="657">
        <v>485000</v>
      </c>
      <c r="G444" s="657">
        <v>485000</v>
      </c>
      <c r="H444" s="766">
        <v>242500</v>
      </c>
      <c r="I444" s="791">
        <f t="shared" si="132"/>
        <v>0.41111434390456791</v>
      </c>
    </row>
    <row r="445" spans="1:9" hidden="1">
      <c r="A445" s="640">
        <v>3113</v>
      </c>
      <c r="B445" s="337" t="s">
        <v>6</v>
      </c>
      <c r="C445" s="655" t="s">
        <v>232</v>
      </c>
      <c r="D445" s="640">
        <v>563</v>
      </c>
      <c r="E445" s="739"/>
      <c r="F445" s="657"/>
      <c r="G445" s="657"/>
      <c r="H445" s="766"/>
      <c r="I445" s="791" t="e">
        <f t="shared" si="132"/>
        <v>#DIV/0!</v>
      </c>
    </row>
    <row r="446" spans="1:9" hidden="1">
      <c r="A446" s="320">
        <v>312</v>
      </c>
      <c r="B446" s="337" t="s">
        <v>8</v>
      </c>
      <c r="C446" s="655" t="s">
        <v>232</v>
      </c>
      <c r="D446" s="640">
        <v>563</v>
      </c>
      <c r="E446" s="739"/>
      <c r="F446" s="656">
        <f>F447</f>
        <v>10000</v>
      </c>
      <c r="G446" s="656">
        <f t="shared" ref="G446:H446" si="146">G447</f>
        <v>10000</v>
      </c>
      <c r="H446" s="765">
        <f t="shared" si="146"/>
        <v>10000</v>
      </c>
      <c r="I446" s="791" t="e">
        <f t="shared" si="132"/>
        <v>#DIV/0!</v>
      </c>
    </row>
    <row r="447" spans="1:9" hidden="1">
      <c r="A447" s="247">
        <v>3121</v>
      </c>
      <c r="B447" s="337" t="s">
        <v>8</v>
      </c>
      <c r="C447" s="655" t="s">
        <v>232</v>
      </c>
      <c r="D447" s="640">
        <v>563</v>
      </c>
      <c r="E447" s="739"/>
      <c r="F447" s="657">
        <v>10000</v>
      </c>
      <c r="G447" s="657">
        <v>10000</v>
      </c>
      <c r="H447" s="766">
        <v>10000</v>
      </c>
      <c r="I447" s="791" t="e">
        <f t="shared" si="132"/>
        <v>#DIV/0!</v>
      </c>
    </row>
    <row r="448" spans="1:9" hidden="1">
      <c r="A448" s="320" t="s">
        <v>10</v>
      </c>
      <c r="B448" s="321" t="s">
        <v>11</v>
      </c>
      <c r="C448" s="654" t="s">
        <v>232</v>
      </c>
      <c r="D448" s="653">
        <v>563</v>
      </c>
      <c r="E448" s="331">
        <f>SUM(E449:E450)</f>
        <v>59113</v>
      </c>
      <c r="F448" s="656">
        <f>SUM(F449:F450)</f>
        <v>83200</v>
      </c>
      <c r="G448" s="656">
        <f t="shared" ref="G448:H448" si="147">SUM(G449:G450)</f>
        <v>59113</v>
      </c>
      <c r="H448" s="765">
        <f t="shared" si="147"/>
        <v>29556.5</v>
      </c>
      <c r="I448" s="791">
        <f t="shared" si="132"/>
        <v>0.40747382132525839</v>
      </c>
    </row>
    <row r="449" spans="1:9" hidden="1">
      <c r="A449" s="640">
        <v>3132</v>
      </c>
      <c r="B449" s="325" t="s">
        <v>13</v>
      </c>
      <c r="C449" s="655" t="s">
        <v>232</v>
      </c>
      <c r="D449" s="640">
        <v>563</v>
      </c>
      <c r="E449" s="327">
        <v>53270</v>
      </c>
      <c r="F449" s="657">
        <v>75000</v>
      </c>
      <c r="G449" s="657">
        <v>53270</v>
      </c>
      <c r="H449" s="766">
        <v>26635</v>
      </c>
      <c r="I449" s="791">
        <f t="shared" si="132"/>
        <v>0.40792190726487704</v>
      </c>
    </row>
    <row r="450" spans="1:9" hidden="1">
      <c r="A450" s="640">
        <v>3133</v>
      </c>
      <c r="B450" s="641" t="s">
        <v>498</v>
      </c>
      <c r="C450" s="655" t="s">
        <v>232</v>
      </c>
      <c r="D450" s="640">
        <v>563</v>
      </c>
      <c r="E450" s="327">
        <v>5843</v>
      </c>
      <c r="F450" s="657">
        <v>8200</v>
      </c>
      <c r="G450" s="657">
        <v>5843</v>
      </c>
      <c r="H450" s="766">
        <v>2921.5</v>
      </c>
      <c r="I450" s="791">
        <f t="shared" si="132"/>
        <v>0.40338867020366248</v>
      </c>
    </row>
    <row r="451" spans="1:9">
      <c r="A451" s="625">
        <v>-32</v>
      </c>
      <c r="B451" s="620" t="s">
        <v>476</v>
      </c>
      <c r="C451" s="620" t="s">
        <v>232</v>
      </c>
      <c r="D451" s="620">
        <v>563</v>
      </c>
      <c r="E451" s="718">
        <f>E452+E455+E457+E462</f>
        <v>1066900</v>
      </c>
      <c r="F451" s="660">
        <f>F452+F455+F457+F462</f>
        <v>1149800</v>
      </c>
      <c r="G451" s="660">
        <f t="shared" ref="G451:H451" si="148">G452+G455+G457+G462</f>
        <v>1108700</v>
      </c>
      <c r="H451" s="767">
        <f t="shared" si="148"/>
        <v>598400</v>
      </c>
      <c r="I451" s="791">
        <f t="shared" si="132"/>
        <v>7.7701752741587776E-2</v>
      </c>
    </row>
    <row r="452" spans="1:9" hidden="1">
      <c r="A452" s="651" t="s">
        <v>16</v>
      </c>
      <c r="B452" s="643" t="s">
        <v>17</v>
      </c>
      <c r="C452" s="654" t="s">
        <v>232</v>
      </c>
      <c r="D452" s="780">
        <v>563</v>
      </c>
      <c r="E452" s="779">
        <f>SUM(E453:E454)</f>
        <v>30300</v>
      </c>
      <c r="F452" s="656">
        <f t="shared" ref="F452:H452" si="149">SUM(F453:F454)</f>
        <v>36400</v>
      </c>
      <c r="G452" s="656">
        <f t="shared" si="149"/>
        <v>30300</v>
      </c>
      <c r="H452" s="765">
        <f t="shared" si="149"/>
        <v>15150</v>
      </c>
      <c r="I452" s="791">
        <f t="shared" si="132"/>
        <v>0.20132013201320131</v>
      </c>
    </row>
    <row r="453" spans="1:9" hidden="1">
      <c r="A453" s="652" t="s">
        <v>18</v>
      </c>
      <c r="B453" s="325" t="s">
        <v>19</v>
      </c>
      <c r="C453" s="655" t="s">
        <v>232</v>
      </c>
      <c r="D453" s="781">
        <v>563</v>
      </c>
      <c r="E453" s="739">
        <v>20300</v>
      </c>
      <c r="F453" s="657">
        <v>20300</v>
      </c>
      <c r="G453" s="657">
        <v>20300</v>
      </c>
      <c r="H453" s="766">
        <v>10150</v>
      </c>
      <c r="I453" s="791">
        <f t="shared" si="132"/>
        <v>0</v>
      </c>
    </row>
    <row r="454" spans="1:9" hidden="1">
      <c r="A454" s="716" t="s">
        <v>20</v>
      </c>
      <c r="B454" s="325" t="s">
        <v>526</v>
      </c>
      <c r="C454" s="655" t="s">
        <v>232</v>
      </c>
      <c r="D454" s="781">
        <v>563</v>
      </c>
      <c r="E454" s="739">
        <v>10000</v>
      </c>
      <c r="F454" s="717">
        <v>16100</v>
      </c>
      <c r="G454" s="717">
        <v>10000</v>
      </c>
      <c r="H454" s="766">
        <v>5000</v>
      </c>
      <c r="I454" s="791">
        <f t="shared" ref="I454:I485" si="150">(F454-E454)/E454</f>
        <v>0.61</v>
      </c>
    </row>
    <row r="455" spans="1:9" hidden="1">
      <c r="A455" s="332" t="s">
        <v>24</v>
      </c>
      <c r="B455" s="321" t="s">
        <v>25</v>
      </c>
      <c r="C455" s="654" t="s">
        <v>232</v>
      </c>
      <c r="D455" s="780">
        <v>563</v>
      </c>
      <c r="E455" s="779">
        <f>SUM(E456)</f>
        <v>59900</v>
      </c>
      <c r="F455" s="656">
        <f>SUM(F456)</f>
        <v>59900</v>
      </c>
      <c r="G455" s="656">
        <f t="shared" ref="G455:H455" si="151">SUM(G456)</f>
        <v>59900</v>
      </c>
      <c r="H455" s="765">
        <f t="shared" si="151"/>
        <v>29950</v>
      </c>
      <c r="I455" s="791">
        <f t="shared" si="150"/>
        <v>0</v>
      </c>
    </row>
    <row r="456" spans="1:9" hidden="1">
      <c r="A456" s="640">
        <v>3223</v>
      </c>
      <c r="B456" s="641" t="s">
        <v>499</v>
      </c>
      <c r="C456" s="655" t="s">
        <v>232</v>
      </c>
      <c r="D456" s="781">
        <v>563</v>
      </c>
      <c r="E456" s="739">
        <v>59900</v>
      </c>
      <c r="F456" s="657">
        <v>59900</v>
      </c>
      <c r="G456" s="657">
        <v>59900</v>
      </c>
      <c r="H456" s="766">
        <v>29950</v>
      </c>
      <c r="I456" s="791">
        <f t="shared" si="150"/>
        <v>0</v>
      </c>
    </row>
    <row r="457" spans="1:9" hidden="1">
      <c r="A457" s="320" t="s">
        <v>34</v>
      </c>
      <c r="B457" s="321" t="s">
        <v>35</v>
      </c>
      <c r="C457" s="654" t="s">
        <v>232</v>
      </c>
      <c r="D457" s="780">
        <v>563</v>
      </c>
      <c r="E457" s="779">
        <f>SUM(E458:E461)</f>
        <v>943700</v>
      </c>
      <c r="F457" s="656">
        <f>SUM(F458:F461)</f>
        <v>1048500</v>
      </c>
      <c r="G457" s="656">
        <f t="shared" ref="G457:H457" si="152">SUM(G458:G461)</f>
        <v>1013500</v>
      </c>
      <c r="H457" s="765">
        <f t="shared" si="152"/>
        <v>520300</v>
      </c>
      <c r="I457" s="791">
        <f t="shared" si="150"/>
        <v>0.11105224117834057</v>
      </c>
    </row>
    <row r="458" spans="1:9" hidden="1">
      <c r="A458" s="640">
        <v>3233</v>
      </c>
      <c r="B458" s="325" t="s">
        <v>41</v>
      </c>
      <c r="C458" s="655" t="s">
        <v>232</v>
      </c>
      <c r="D458" s="781">
        <v>563</v>
      </c>
      <c r="E458" s="739">
        <v>15000</v>
      </c>
      <c r="F458" s="657">
        <v>35000</v>
      </c>
      <c r="G458" s="657">
        <v>0</v>
      </c>
      <c r="H458" s="766">
        <v>5000</v>
      </c>
      <c r="I458" s="791">
        <f t="shared" si="150"/>
        <v>1.3333333333333333</v>
      </c>
    </row>
    <row r="459" spans="1:9" hidden="1">
      <c r="A459" s="640">
        <v>3235</v>
      </c>
      <c r="B459" s="325" t="s">
        <v>45</v>
      </c>
      <c r="C459" s="655" t="s">
        <v>232</v>
      </c>
      <c r="D459" s="781">
        <v>563</v>
      </c>
      <c r="E459" s="739">
        <v>8300</v>
      </c>
      <c r="F459" s="657">
        <v>0</v>
      </c>
      <c r="G459" s="657">
        <v>0</v>
      </c>
      <c r="H459" s="766">
        <v>8300</v>
      </c>
      <c r="I459" s="791">
        <f t="shared" si="150"/>
        <v>-1</v>
      </c>
    </row>
    <row r="460" spans="1:9" hidden="1">
      <c r="A460" s="640">
        <v>3237</v>
      </c>
      <c r="B460" s="325" t="s">
        <v>49</v>
      </c>
      <c r="C460" s="655" t="s">
        <v>232</v>
      </c>
      <c r="D460" s="781">
        <v>563</v>
      </c>
      <c r="E460" s="739">
        <v>906900</v>
      </c>
      <c r="F460" s="657">
        <v>1000000</v>
      </c>
      <c r="G460" s="657">
        <v>1000000</v>
      </c>
      <c r="H460" s="766">
        <v>500000</v>
      </c>
      <c r="I460" s="791">
        <f t="shared" si="150"/>
        <v>0.10265740434447017</v>
      </c>
    </row>
    <row r="461" spans="1:9" hidden="1">
      <c r="A461" s="640">
        <v>3239</v>
      </c>
      <c r="B461" s="325" t="s">
        <v>53</v>
      </c>
      <c r="C461" s="655" t="s">
        <v>232</v>
      </c>
      <c r="D461" s="781">
        <v>563</v>
      </c>
      <c r="E461" s="739">
        <v>13500</v>
      </c>
      <c r="F461" s="657">
        <v>13500</v>
      </c>
      <c r="G461" s="657">
        <v>13500</v>
      </c>
      <c r="H461" s="766">
        <v>7000</v>
      </c>
      <c r="I461" s="791">
        <f t="shared" si="150"/>
        <v>0</v>
      </c>
    </row>
    <row r="462" spans="1:9" hidden="1">
      <c r="A462" s="332" t="s">
        <v>57</v>
      </c>
      <c r="B462" s="321" t="s">
        <v>58</v>
      </c>
      <c r="C462" s="654" t="s">
        <v>232</v>
      </c>
      <c r="D462" s="780">
        <v>563</v>
      </c>
      <c r="E462" s="779">
        <f>SUM(E463)</f>
        <v>33000</v>
      </c>
      <c r="F462" s="656">
        <f>SUM(F463)</f>
        <v>5000</v>
      </c>
      <c r="G462" s="656">
        <f t="shared" ref="G462:H462" si="153">SUM(G463)</f>
        <v>5000</v>
      </c>
      <c r="H462" s="765">
        <f t="shared" si="153"/>
        <v>33000</v>
      </c>
      <c r="I462" s="791">
        <f t="shared" si="150"/>
        <v>-0.84848484848484851</v>
      </c>
    </row>
    <row r="463" spans="1:9" hidden="1">
      <c r="A463" s="670">
        <v>3293</v>
      </c>
      <c r="B463" s="671" t="s">
        <v>64</v>
      </c>
      <c r="C463" s="784" t="s">
        <v>232</v>
      </c>
      <c r="D463" s="787">
        <v>563</v>
      </c>
      <c r="E463" s="783">
        <v>33000</v>
      </c>
      <c r="F463" s="788">
        <v>5000</v>
      </c>
      <c r="G463" s="788">
        <v>5000</v>
      </c>
      <c r="H463" s="788">
        <v>33000</v>
      </c>
      <c r="I463" s="791">
        <f t="shared" si="150"/>
        <v>-0.84848484848484851</v>
      </c>
    </row>
    <row r="464" spans="1:9" hidden="1">
      <c r="A464" s="247">
        <v>3295</v>
      </c>
      <c r="B464" s="671" t="s">
        <v>68</v>
      </c>
      <c r="C464" s="736">
        <v>442</v>
      </c>
      <c r="D464" s="787">
        <v>563</v>
      </c>
      <c r="E464" s="783">
        <v>0</v>
      </c>
      <c r="F464" s="788">
        <v>0</v>
      </c>
      <c r="G464" s="788">
        <v>0</v>
      </c>
      <c r="H464" s="788">
        <v>0</v>
      </c>
      <c r="I464" s="791" t="e">
        <f t="shared" si="150"/>
        <v>#DIV/0!</v>
      </c>
    </row>
    <row r="465" spans="1:9">
      <c r="A465" s="673">
        <v>-35</v>
      </c>
      <c r="B465" s="674" t="s">
        <v>487</v>
      </c>
      <c r="C465" s="674" t="s">
        <v>232</v>
      </c>
      <c r="D465" s="785">
        <v>563</v>
      </c>
      <c r="E465" s="782">
        <f>E466</f>
        <v>17206300</v>
      </c>
      <c r="F465" s="782">
        <f>F466</f>
        <v>17206300</v>
      </c>
      <c r="G465" s="782">
        <f t="shared" ref="G465:H465" si="154">G467</f>
        <v>30000000</v>
      </c>
      <c r="H465" s="786">
        <f t="shared" si="154"/>
        <v>10000000</v>
      </c>
      <c r="I465" s="791">
        <f t="shared" si="150"/>
        <v>0</v>
      </c>
    </row>
    <row r="466" spans="1:9" hidden="1">
      <c r="A466" s="642">
        <v>353</v>
      </c>
      <c r="B466" s="643" t="s">
        <v>516</v>
      </c>
      <c r="C466" s="643" t="s">
        <v>232</v>
      </c>
      <c r="D466" s="643">
        <v>563</v>
      </c>
      <c r="E466" s="709">
        <f>E467</f>
        <v>17206300</v>
      </c>
      <c r="F466" s="709">
        <f>F467</f>
        <v>17206300</v>
      </c>
      <c r="G466" s="709">
        <f t="shared" ref="G466:H466" si="155">G467</f>
        <v>30000000</v>
      </c>
      <c r="H466" s="768">
        <f t="shared" si="155"/>
        <v>10000000</v>
      </c>
      <c r="I466" s="791">
        <f t="shared" si="150"/>
        <v>0</v>
      </c>
    </row>
    <row r="467" spans="1:9" hidden="1">
      <c r="A467" s="712">
        <v>3531</v>
      </c>
      <c r="B467" s="713" t="s">
        <v>516</v>
      </c>
      <c r="C467" s="713" t="s">
        <v>232</v>
      </c>
      <c r="D467" s="713">
        <v>563</v>
      </c>
      <c r="E467" s="327">
        <v>17206300</v>
      </c>
      <c r="F467" s="714">
        <v>17206300</v>
      </c>
      <c r="G467" s="714">
        <v>30000000</v>
      </c>
      <c r="H467" s="769">
        <v>10000000</v>
      </c>
      <c r="I467" s="791">
        <f t="shared" si="150"/>
        <v>0</v>
      </c>
    </row>
    <row r="468" spans="1:9">
      <c r="A468" s="346" t="s">
        <v>513</v>
      </c>
      <c r="B468" s="346" t="s">
        <v>506</v>
      </c>
      <c r="C468" s="346" t="s">
        <v>232</v>
      </c>
      <c r="D468" s="346"/>
      <c r="E468" s="720">
        <f>E469+E470+E479+E480+E481</f>
        <v>912500</v>
      </c>
      <c r="F468" s="658">
        <f>F469+F470+F479+F480+F481</f>
        <v>4250000</v>
      </c>
      <c r="G468" s="658">
        <f t="shared" ref="G468:H468" si="156">G469+G470+G479+G480+G481</f>
        <v>4375000</v>
      </c>
      <c r="H468" s="764">
        <f t="shared" si="156"/>
        <v>5250000</v>
      </c>
      <c r="I468" s="792">
        <f t="shared" si="150"/>
        <v>3.6575342465753424</v>
      </c>
    </row>
    <row r="469" spans="1:9">
      <c r="A469" s="673" t="s">
        <v>519</v>
      </c>
      <c r="B469" s="683" t="s">
        <v>476</v>
      </c>
      <c r="C469" s="683" t="s">
        <v>232</v>
      </c>
      <c r="D469" s="683" t="s">
        <v>82</v>
      </c>
      <c r="E469" s="721">
        <f>E471+E475</f>
        <v>39000</v>
      </c>
      <c r="F469" s="701">
        <f>F471+F475</f>
        <v>37500</v>
      </c>
      <c r="G469" s="701">
        <f t="shared" ref="G469:H470" si="157">G471+G475</f>
        <v>37500</v>
      </c>
      <c r="H469" s="770">
        <f t="shared" si="157"/>
        <v>37500</v>
      </c>
      <c r="I469" s="791">
        <f t="shared" si="150"/>
        <v>-3.8461538461538464E-2</v>
      </c>
    </row>
    <row r="470" spans="1:9">
      <c r="A470" s="673" t="s">
        <v>519</v>
      </c>
      <c r="B470" s="683" t="s">
        <v>476</v>
      </c>
      <c r="C470" s="683" t="s">
        <v>232</v>
      </c>
      <c r="D470" s="683" t="s">
        <v>507</v>
      </c>
      <c r="E470" s="721">
        <f>E472+E476</f>
        <v>221000</v>
      </c>
      <c r="F470" s="701">
        <f>F472+F476</f>
        <v>212500</v>
      </c>
      <c r="G470" s="701">
        <f t="shared" si="157"/>
        <v>212500</v>
      </c>
      <c r="H470" s="770">
        <f t="shared" si="157"/>
        <v>212500</v>
      </c>
      <c r="I470" s="791">
        <f t="shared" si="150"/>
        <v>-3.8461538461538464E-2</v>
      </c>
    </row>
    <row r="471" spans="1:9" hidden="1">
      <c r="A471" s="685" t="s">
        <v>34</v>
      </c>
      <c r="B471" s="686" t="s">
        <v>35</v>
      </c>
      <c r="C471" s="698" t="s">
        <v>232</v>
      </c>
      <c r="D471" s="688" t="s">
        <v>82</v>
      </c>
      <c r="E471" s="719">
        <f>E473</f>
        <v>30000</v>
      </c>
      <c r="F471" s="699">
        <f>F473</f>
        <v>22500</v>
      </c>
      <c r="G471" s="699">
        <f t="shared" ref="G471:H472" si="158">G473</f>
        <v>22500</v>
      </c>
      <c r="H471" s="771">
        <f t="shared" si="158"/>
        <v>22500</v>
      </c>
      <c r="I471" s="791">
        <f t="shared" si="150"/>
        <v>-0.25</v>
      </c>
    </row>
    <row r="472" spans="1:9" hidden="1">
      <c r="A472" s="685" t="s">
        <v>34</v>
      </c>
      <c r="B472" s="686" t="s">
        <v>35</v>
      </c>
      <c r="C472" s="698" t="s">
        <v>232</v>
      </c>
      <c r="D472" s="688" t="s">
        <v>507</v>
      </c>
      <c r="E472" s="719">
        <f>E474</f>
        <v>170000</v>
      </c>
      <c r="F472" s="699">
        <f>F474</f>
        <v>127500</v>
      </c>
      <c r="G472" s="699">
        <f t="shared" si="158"/>
        <v>127500</v>
      </c>
      <c r="H472" s="771">
        <f t="shared" si="158"/>
        <v>127500</v>
      </c>
      <c r="I472" s="791">
        <f t="shared" si="150"/>
        <v>-0.25</v>
      </c>
    </row>
    <row r="473" spans="1:9" hidden="1">
      <c r="A473" s="652" t="s">
        <v>48</v>
      </c>
      <c r="B473" s="689" t="s">
        <v>49</v>
      </c>
      <c r="C473" s="648" t="s">
        <v>232</v>
      </c>
      <c r="D473" s="691" t="s">
        <v>82</v>
      </c>
      <c r="E473" s="690">
        <v>30000</v>
      </c>
      <c r="F473" s="692">
        <v>22500</v>
      </c>
      <c r="G473" s="692">
        <v>22500</v>
      </c>
      <c r="H473" s="772">
        <v>22500</v>
      </c>
      <c r="I473" s="791">
        <f t="shared" si="150"/>
        <v>-0.25</v>
      </c>
    </row>
    <row r="474" spans="1:9" hidden="1">
      <c r="A474" s="652" t="s">
        <v>48</v>
      </c>
      <c r="B474" s="689" t="s">
        <v>49</v>
      </c>
      <c r="C474" s="648" t="s">
        <v>232</v>
      </c>
      <c r="D474" s="691" t="s">
        <v>507</v>
      </c>
      <c r="E474" s="690">
        <v>170000</v>
      </c>
      <c r="F474" s="692">
        <v>127500</v>
      </c>
      <c r="G474" s="692">
        <v>127500</v>
      </c>
      <c r="H474" s="772">
        <v>127500</v>
      </c>
      <c r="I474" s="791">
        <f t="shared" si="150"/>
        <v>-0.25</v>
      </c>
    </row>
    <row r="475" spans="1:9" hidden="1">
      <c r="A475" s="685" t="s">
        <v>54</v>
      </c>
      <c r="B475" s="686" t="s">
        <v>55</v>
      </c>
      <c r="C475" s="698" t="s">
        <v>232</v>
      </c>
      <c r="D475" s="688" t="s">
        <v>82</v>
      </c>
      <c r="E475" s="687">
        <f>E477</f>
        <v>9000</v>
      </c>
      <c r="F475" s="699">
        <f>F477</f>
        <v>15000</v>
      </c>
      <c r="G475" s="699">
        <f t="shared" ref="G475:H476" si="159">G477</f>
        <v>15000</v>
      </c>
      <c r="H475" s="771">
        <f t="shared" si="159"/>
        <v>15000</v>
      </c>
      <c r="I475" s="791">
        <f t="shared" si="150"/>
        <v>0.66666666666666663</v>
      </c>
    </row>
    <row r="476" spans="1:9" hidden="1">
      <c r="A476" s="685" t="s">
        <v>54</v>
      </c>
      <c r="B476" s="686" t="s">
        <v>55</v>
      </c>
      <c r="C476" s="698" t="s">
        <v>232</v>
      </c>
      <c r="D476" s="688" t="s">
        <v>507</v>
      </c>
      <c r="E476" s="687">
        <f>E478</f>
        <v>51000</v>
      </c>
      <c r="F476" s="699">
        <f>F478</f>
        <v>85000</v>
      </c>
      <c r="G476" s="699">
        <f t="shared" si="159"/>
        <v>85000</v>
      </c>
      <c r="H476" s="771">
        <f t="shared" si="159"/>
        <v>85000</v>
      </c>
      <c r="I476" s="791">
        <f t="shared" si="150"/>
        <v>0.66666666666666663</v>
      </c>
    </row>
    <row r="477" spans="1:9" hidden="1">
      <c r="A477" s="652" t="s">
        <v>56</v>
      </c>
      <c r="B477" s="689" t="s">
        <v>55</v>
      </c>
      <c r="C477" s="648" t="s">
        <v>232</v>
      </c>
      <c r="D477" s="691" t="s">
        <v>82</v>
      </c>
      <c r="E477" s="690">
        <v>9000</v>
      </c>
      <c r="F477" s="692">
        <v>15000</v>
      </c>
      <c r="G477" s="692">
        <v>15000</v>
      </c>
      <c r="H477" s="772">
        <v>15000</v>
      </c>
      <c r="I477" s="791">
        <f t="shared" si="150"/>
        <v>0.66666666666666663</v>
      </c>
    </row>
    <row r="478" spans="1:9" hidden="1">
      <c r="A478" s="652" t="s">
        <v>56</v>
      </c>
      <c r="B478" s="689" t="s">
        <v>55</v>
      </c>
      <c r="C478" s="648" t="s">
        <v>232</v>
      </c>
      <c r="D478" s="691" t="s">
        <v>507</v>
      </c>
      <c r="E478" s="690">
        <v>51000</v>
      </c>
      <c r="F478" s="692">
        <v>85000</v>
      </c>
      <c r="G478" s="692">
        <v>85000</v>
      </c>
      <c r="H478" s="772">
        <v>85000</v>
      </c>
      <c r="I478" s="791">
        <f t="shared" si="150"/>
        <v>0.66666666666666663</v>
      </c>
    </row>
    <row r="479" spans="1:9">
      <c r="A479" s="700" t="s">
        <v>486</v>
      </c>
      <c r="B479" s="683" t="s">
        <v>487</v>
      </c>
      <c r="C479" s="683" t="s">
        <v>232</v>
      </c>
      <c r="D479" s="683" t="s">
        <v>82</v>
      </c>
      <c r="E479" s="721">
        <f>E482</f>
        <v>450000</v>
      </c>
      <c r="F479" s="701">
        <f>F482</f>
        <v>450000</v>
      </c>
      <c r="G479" s="701">
        <f t="shared" ref="G479:H479" si="160">G482</f>
        <v>500000</v>
      </c>
      <c r="H479" s="770">
        <f t="shared" si="160"/>
        <v>3750000</v>
      </c>
      <c r="I479" s="791">
        <f t="shared" si="150"/>
        <v>0</v>
      </c>
    </row>
    <row r="480" spans="1:9">
      <c r="A480" s="700" t="s">
        <v>486</v>
      </c>
      <c r="B480" s="683" t="s">
        <v>487</v>
      </c>
      <c r="C480" s="683" t="s">
        <v>232</v>
      </c>
      <c r="D480" s="683" t="s">
        <v>507</v>
      </c>
      <c r="E480" s="721">
        <f>E483</f>
        <v>0</v>
      </c>
      <c r="F480" s="701">
        <f>F483+F486</f>
        <v>2550000</v>
      </c>
      <c r="G480" s="701">
        <f t="shared" ref="G480:H480" si="161">G483+G486</f>
        <v>2500000</v>
      </c>
      <c r="H480" s="701">
        <f t="shared" si="161"/>
        <v>0</v>
      </c>
      <c r="I480" s="791" t="e">
        <f t="shared" si="150"/>
        <v>#DIV/0!</v>
      </c>
    </row>
    <row r="481" spans="1:9">
      <c r="A481" s="700" t="s">
        <v>486</v>
      </c>
      <c r="B481" s="683" t="s">
        <v>487</v>
      </c>
      <c r="C481" s="683" t="s">
        <v>232</v>
      </c>
      <c r="D481" s="683" t="s">
        <v>315</v>
      </c>
      <c r="E481" s="721">
        <f>E487</f>
        <v>202500</v>
      </c>
      <c r="F481" s="701">
        <f>F487</f>
        <v>1000000</v>
      </c>
      <c r="G481" s="701">
        <f t="shared" ref="G481:H481" si="162">G487</f>
        <v>1125000</v>
      </c>
      <c r="H481" s="770">
        <f t="shared" si="162"/>
        <v>1250000</v>
      </c>
      <c r="I481" s="791">
        <f t="shared" si="150"/>
        <v>3.9382716049382718</v>
      </c>
    </row>
    <row r="482" spans="1:9" hidden="1">
      <c r="A482" s="685" t="s">
        <v>196</v>
      </c>
      <c r="B482" s="686" t="s">
        <v>508</v>
      </c>
      <c r="C482" s="698" t="s">
        <v>232</v>
      </c>
      <c r="D482" s="688" t="s">
        <v>82</v>
      </c>
      <c r="E482" s="719">
        <f>E484</f>
        <v>450000</v>
      </c>
      <c r="F482" s="699">
        <f>F484</f>
        <v>450000</v>
      </c>
      <c r="G482" s="699">
        <f t="shared" ref="G482:H482" si="163">G484</f>
        <v>500000</v>
      </c>
      <c r="H482" s="771">
        <f t="shared" si="163"/>
        <v>3750000</v>
      </c>
      <c r="I482" s="791">
        <f t="shared" si="150"/>
        <v>0</v>
      </c>
    </row>
    <row r="483" spans="1:9" hidden="1">
      <c r="A483" s="685" t="s">
        <v>196</v>
      </c>
      <c r="B483" s="686" t="s">
        <v>508</v>
      </c>
      <c r="C483" s="698" t="s">
        <v>232</v>
      </c>
      <c r="D483" s="653">
        <v>552</v>
      </c>
      <c r="E483" s="690">
        <f>E485</f>
        <v>0</v>
      </c>
      <c r="F483" s="699">
        <f>F485</f>
        <v>0</v>
      </c>
      <c r="G483" s="699">
        <f>G485</f>
        <v>0</v>
      </c>
      <c r="H483" s="771">
        <f>H485</f>
        <v>0</v>
      </c>
      <c r="I483" s="791" t="e">
        <f t="shared" si="150"/>
        <v>#DIV/0!</v>
      </c>
    </row>
    <row r="484" spans="1:9" hidden="1">
      <c r="A484" s="652" t="s">
        <v>197</v>
      </c>
      <c r="B484" s="689" t="s">
        <v>493</v>
      </c>
      <c r="C484" s="648" t="s">
        <v>232</v>
      </c>
      <c r="D484" s="691" t="s">
        <v>82</v>
      </c>
      <c r="E484" s="690">
        <v>450000</v>
      </c>
      <c r="F484" s="692">
        <v>450000</v>
      </c>
      <c r="G484" s="692">
        <v>500000</v>
      </c>
      <c r="H484" s="772">
        <v>3750000</v>
      </c>
      <c r="I484" s="791">
        <f t="shared" si="150"/>
        <v>0</v>
      </c>
    </row>
    <row r="485" spans="1:9" hidden="1">
      <c r="A485" s="652"/>
      <c r="B485" s="689"/>
      <c r="C485" s="648"/>
      <c r="D485" s="691"/>
      <c r="E485" s="690"/>
      <c r="F485" s="692"/>
      <c r="G485" s="692"/>
      <c r="H485" s="772"/>
      <c r="I485" s="791" t="e">
        <f t="shared" si="150"/>
        <v>#DIV/0!</v>
      </c>
    </row>
    <row r="486" spans="1:9" hidden="1">
      <c r="A486" s="685" t="s">
        <v>460</v>
      </c>
      <c r="B486" s="686" t="s">
        <v>509</v>
      </c>
      <c r="C486" s="698" t="s">
        <v>232</v>
      </c>
      <c r="D486" s="688" t="s">
        <v>507</v>
      </c>
      <c r="E486" s="687">
        <f>+E489</f>
        <v>3442500</v>
      </c>
      <c r="F486" s="699">
        <f>F489</f>
        <v>2550000</v>
      </c>
      <c r="G486" s="699">
        <f t="shared" ref="G486:H486" si="164">G489</f>
        <v>2500000</v>
      </c>
      <c r="H486" s="699">
        <f t="shared" si="164"/>
        <v>0</v>
      </c>
      <c r="I486" s="791">
        <f t="shared" ref="I486:I497" si="165">(F486-E486)/E486</f>
        <v>-0.25925925925925924</v>
      </c>
    </row>
    <row r="487" spans="1:9" hidden="1">
      <c r="A487" s="685" t="s">
        <v>460</v>
      </c>
      <c r="B487" s="686" t="s">
        <v>509</v>
      </c>
      <c r="C487" s="698" t="s">
        <v>232</v>
      </c>
      <c r="D487" s="688" t="s">
        <v>315</v>
      </c>
      <c r="E487" s="687">
        <f>E488</f>
        <v>202500</v>
      </c>
      <c r="F487" s="699">
        <f>F488</f>
        <v>1000000</v>
      </c>
      <c r="G487" s="699">
        <f t="shared" ref="G487:H487" si="166">G488</f>
        <v>1125000</v>
      </c>
      <c r="H487" s="771">
        <f t="shared" si="166"/>
        <v>1250000</v>
      </c>
      <c r="I487" s="791">
        <f t="shared" si="165"/>
        <v>3.9382716049382718</v>
      </c>
    </row>
    <row r="488" spans="1:9" hidden="1">
      <c r="A488" s="652" t="s">
        <v>462</v>
      </c>
      <c r="B488" s="689" t="s">
        <v>510</v>
      </c>
      <c r="C488" s="648" t="s">
        <v>232</v>
      </c>
      <c r="D488" s="691" t="s">
        <v>315</v>
      </c>
      <c r="E488" s="690">
        <v>202500</v>
      </c>
      <c r="F488" s="692">
        <v>1000000</v>
      </c>
      <c r="G488" s="692">
        <v>1125000</v>
      </c>
      <c r="H488" s="772">
        <v>1250000</v>
      </c>
      <c r="I488" s="791">
        <f t="shared" si="165"/>
        <v>3.9382716049382718</v>
      </c>
    </row>
    <row r="489" spans="1:9" hidden="1">
      <c r="A489" s="652" t="s">
        <v>462</v>
      </c>
      <c r="B489" s="689" t="s">
        <v>510</v>
      </c>
      <c r="C489" s="737" t="s">
        <v>232</v>
      </c>
      <c r="D489" s="691" t="s">
        <v>507</v>
      </c>
      <c r="E489" s="738">
        <v>3442500</v>
      </c>
      <c r="F489" s="692">
        <v>2550000</v>
      </c>
      <c r="G489" s="692">
        <v>2500000</v>
      </c>
      <c r="H489" s="772">
        <v>0</v>
      </c>
      <c r="I489" s="791">
        <f t="shared" si="165"/>
        <v>-0.25925925925925924</v>
      </c>
    </row>
    <row r="490" spans="1:9">
      <c r="A490" s="346" t="s">
        <v>512</v>
      </c>
      <c r="B490" s="346" t="s">
        <v>504</v>
      </c>
      <c r="C490" s="346" t="s">
        <v>232</v>
      </c>
      <c r="D490" s="694"/>
      <c r="E490" s="658">
        <f>E492</f>
        <v>3500000</v>
      </c>
      <c r="F490" s="695">
        <f>F492</f>
        <v>3500000</v>
      </c>
      <c r="G490" s="695">
        <f t="shared" ref="G490:H490" si="167">G492</f>
        <v>3500000</v>
      </c>
      <c r="H490" s="773">
        <f t="shared" si="167"/>
        <v>3500000</v>
      </c>
      <c r="I490" s="792">
        <f t="shared" si="165"/>
        <v>0</v>
      </c>
    </row>
    <row r="491" spans="1:9">
      <c r="A491" s="682" t="s">
        <v>265</v>
      </c>
      <c r="B491" s="683" t="s">
        <v>483</v>
      </c>
      <c r="C491" s="684" t="s">
        <v>232</v>
      </c>
      <c r="D491" s="684" t="s">
        <v>82</v>
      </c>
      <c r="E491" s="722">
        <f>E492</f>
        <v>3500000</v>
      </c>
      <c r="F491" s="693">
        <f>F492</f>
        <v>3500000</v>
      </c>
      <c r="G491" s="693">
        <f t="shared" ref="G491:H492" si="168">G492</f>
        <v>3500000</v>
      </c>
      <c r="H491" s="774">
        <f t="shared" si="168"/>
        <v>3500000</v>
      </c>
      <c r="I491" s="791">
        <f t="shared" si="165"/>
        <v>0</v>
      </c>
    </row>
    <row r="492" spans="1:9" hidden="1">
      <c r="A492" s="685" t="s">
        <v>364</v>
      </c>
      <c r="B492" s="686" t="s">
        <v>365</v>
      </c>
      <c r="C492" s="698" t="s">
        <v>232</v>
      </c>
      <c r="D492" s="688">
        <v>12</v>
      </c>
      <c r="E492" s="687">
        <f>E493</f>
        <v>3500000</v>
      </c>
      <c r="F492" s="676">
        <f>F493</f>
        <v>3500000</v>
      </c>
      <c r="G492" s="676">
        <f t="shared" si="168"/>
        <v>3500000</v>
      </c>
      <c r="H492" s="775">
        <f t="shared" si="168"/>
        <v>3500000</v>
      </c>
      <c r="I492" s="791">
        <f t="shared" si="165"/>
        <v>0</v>
      </c>
    </row>
    <row r="493" spans="1:9" hidden="1">
      <c r="A493" s="652" t="s">
        <v>366</v>
      </c>
      <c r="B493" s="689" t="s">
        <v>365</v>
      </c>
      <c r="C493" s="648" t="s">
        <v>232</v>
      </c>
      <c r="D493" s="691" t="s">
        <v>82</v>
      </c>
      <c r="E493" s="690">
        <v>3500000</v>
      </c>
      <c r="F493" s="692">
        <v>3500000</v>
      </c>
      <c r="G493" s="692">
        <v>3500000</v>
      </c>
      <c r="H493" s="772">
        <v>3500000</v>
      </c>
      <c r="I493" s="791">
        <f t="shared" si="165"/>
        <v>0</v>
      </c>
    </row>
    <row r="494" spans="1:9">
      <c r="A494" s="346" t="s">
        <v>511</v>
      </c>
      <c r="B494" s="346" t="s">
        <v>502</v>
      </c>
      <c r="C494" s="346" t="s">
        <v>232</v>
      </c>
      <c r="D494" s="346"/>
      <c r="E494" s="734">
        <f>E495+E502+E516+E519</f>
        <v>1374800</v>
      </c>
      <c r="F494" s="658">
        <f>F495+F502+F516+F519</f>
        <v>720000</v>
      </c>
      <c r="G494" s="658">
        <f t="shared" ref="G494:H494" si="169">G495+G502+G516+G519</f>
        <v>820000</v>
      </c>
      <c r="H494" s="764">
        <f t="shared" si="169"/>
        <v>820000</v>
      </c>
      <c r="I494" s="792">
        <f t="shared" si="165"/>
        <v>-0.47628745999418098</v>
      </c>
    </row>
    <row r="495" spans="1:9">
      <c r="A495" s="612" t="s">
        <v>272</v>
      </c>
      <c r="B495" s="613" t="s">
        <v>474</v>
      </c>
      <c r="C495" s="614" t="s">
        <v>232</v>
      </c>
      <c r="D495" s="613">
        <v>11</v>
      </c>
      <c r="E495" s="728">
        <f>E496+E499</f>
        <v>693200</v>
      </c>
      <c r="F495" s="659">
        <f>F496+F499</f>
        <v>0</v>
      </c>
      <c r="G495" s="659">
        <f t="shared" ref="G495:H495" si="170">G496+G499</f>
        <v>0</v>
      </c>
      <c r="H495" s="757">
        <f t="shared" si="170"/>
        <v>0</v>
      </c>
      <c r="I495" s="791">
        <f t="shared" si="165"/>
        <v>-1</v>
      </c>
    </row>
    <row r="496" spans="1:9" hidden="1">
      <c r="A496" s="320" t="s">
        <v>1</v>
      </c>
      <c r="B496" s="321" t="s">
        <v>2</v>
      </c>
      <c r="C496" s="334" t="s">
        <v>232</v>
      </c>
      <c r="D496" s="632">
        <v>11</v>
      </c>
      <c r="E496" s="729">
        <f>E497</f>
        <v>591400</v>
      </c>
      <c r="F496" s="679">
        <f>F497</f>
        <v>0</v>
      </c>
      <c r="G496" s="679">
        <f t="shared" ref="G496:H496" si="171">G497</f>
        <v>0</v>
      </c>
      <c r="H496" s="776">
        <f t="shared" si="171"/>
        <v>0</v>
      </c>
      <c r="I496" s="791">
        <f t="shared" si="165"/>
        <v>-1</v>
      </c>
    </row>
    <row r="497" spans="1:9" hidden="1">
      <c r="A497" s="324" t="s">
        <v>3</v>
      </c>
      <c r="B497" s="325" t="s">
        <v>4</v>
      </c>
      <c r="C497" s="334" t="s">
        <v>232</v>
      </c>
      <c r="D497" s="677">
        <v>11</v>
      </c>
      <c r="E497" s="730">
        <v>591400</v>
      </c>
      <c r="F497" s="678"/>
      <c r="G497" s="678"/>
      <c r="H497" s="777"/>
      <c r="I497" s="791">
        <f t="shared" si="165"/>
        <v>-1</v>
      </c>
    </row>
    <row r="498" spans="1:9" hidden="1">
      <c r="A498" s="324">
        <v>3113</v>
      </c>
      <c r="B498" s="325" t="s">
        <v>6</v>
      </c>
      <c r="C498" s="794" t="s">
        <v>232</v>
      </c>
      <c r="D498" s="796">
        <v>11</v>
      </c>
      <c r="E498" s="795">
        <v>0</v>
      </c>
      <c r="F498" s="797"/>
      <c r="G498" s="797"/>
      <c r="H498" s="798"/>
      <c r="I498" s="793"/>
    </row>
    <row r="499" spans="1:9" hidden="1">
      <c r="A499" s="320" t="s">
        <v>10</v>
      </c>
      <c r="B499" s="321" t="s">
        <v>11</v>
      </c>
      <c r="C499" s="654" t="s">
        <v>232</v>
      </c>
      <c r="D499" s="675">
        <v>11</v>
      </c>
      <c r="E499" s="729">
        <f>SUM(E500:E501)</f>
        <v>101800</v>
      </c>
      <c r="F499" s="676">
        <f>SUM(F500:F501)</f>
        <v>0</v>
      </c>
      <c r="G499" s="676">
        <f t="shared" ref="G499:H499" si="172">SUM(G500:G501)</f>
        <v>0</v>
      </c>
      <c r="H499" s="775">
        <f t="shared" si="172"/>
        <v>0</v>
      </c>
      <c r="I499" s="791">
        <f t="shared" ref="I499:I530" si="173">(F499-E499)/E499</f>
        <v>-1</v>
      </c>
    </row>
    <row r="500" spans="1:9" hidden="1">
      <c r="A500" s="640">
        <v>3132</v>
      </c>
      <c r="B500" s="325" t="s">
        <v>13</v>
      </c>
      <c r="C500" s="655" t="s">
        <v>232</v>
      </c>
      <c r="D500" s="677">
        <v>11</v>
      </c>
      <c r="E500" s="730">
        <v>91700</v>
      </c>
      <c r="F500" s="678"/>
      <c r="G500" s="678"/>
      <c r="H500" s="777"/>
      <c r="I500" s="791">
        <f t="shared" si="173"/>
        <v>-1</v>
      </c>
    </row>
    <row r="501" spans="1:9" hidden="1">
      <c r="A501" s="640">
        <v>3133</v>
      </c>
      <c r="B501" s="641" t="s">
        <v>498</v>
      </c>
      <c r="C501" s="655" t="s">
        <v>232</v>
      </c>
      <c r="D501" s="677">
        <v>11</v>
      </c>
      <c r="E501" s="730">
        <v>10100</v>
      </c>
      <c r="F501" s="678"/>
      <c r="G501" s="678"/>
      <c r="H501" s="777"/>
      <c r="I501" s="791">
        <f t="shared" si="173"/>
        <v>-1</v>
      </c>
    </row>
    <row r="502" spans="1:9">
      <c r="A502" s="625" t="s">
        <v>475</v>
      </c>
      <c r="B502" s="620" t="s">
        <v>476</v>
      </c>
      <c r="C502" s="614" t="s">
        <v>232</v>
      </c>
      <c r="D502" s="620">
        <v>11</v>
      </c>
      <c r="E502" s="718">
        <f>E503+E507+E509+E514</f>
        <v>631600</v>
      </c>
      <c r="F502" s="660">
        <f>F503+F507+F509+F514</f>
        <v>620000</v>
      </c>
      <c r="G502" s="660">
        <f t="shared" ref="G502:H502" si="174">G503+G507+G509+G514</f>
        <v>720000</v>
      </c>
      <c r="H502" s="767">
        <f t="shared" si="174"/>
        <v>720000</v>
      </c>
      <c r="I502" s="791">
        <f t="shared" si="173"/>
        <v>-1.8366054464851171E-2</v>
      </c>
    </row>
    <row r="503" spans="1:9" hidden="1">
      <c r="A503" s="320" t="s">
        <v>16</v>
      </c>
      <c r="B503" s="321" t="s">
        <v>17</v>
      </c>
      <c r="C503" s="333" t="s">
        <v>232</v>
      </c>
      <c r="D503" s="675">
        <v>11</v>
      </c>
      <c r="E503" s="676">
        <f>SUM(E504:E506)</f>
        <v>131600</v>
      </c>
      <c r="F503" s="676">
        <f>SUM(F504:F506)</f>
        <v>250000</v>
      </c>
      <c r="G503" s="676">
        <f t="shared" ref="G503:H503" si="175">SUM(G504:G506)</f>
        <v>350000</v>
      </c>
      <c r="H503" s="775">
        <f t="shared" si="175"/>
        <v>350000</v>
      </c>
      <c r="I503" s="791">
        <f t="shared" si="173"/>
        <v>0.89969604863221886</v>
      </c>
    </row>
    <row r="504" spans="1:9" hidden="1">
      <c r="A504" s="324" t="s">
        <v>18</v>
      </c>
      <c r="B504" s="325" t="s">
        <v>19</v>
      </c>
      <c r="C504" s="340" t="s">
        <v>232</v>
      </c>
      <c r="D504" s="677">
        <v>11</v>
      </c>
      <c r="E504" s="678">
        <v>50000</v>
      </c>
      <c r="F504" s="678">
        <v>150000</v>
      </c>
      <c r="G504" s="678">
        <v>250000</v>
      </c>
      <c r="H504" s="777">
        <v>250000</v>
      </c>
      <c r="I504" s="791">
        <f t="shared" si="173"/>
        <v>2</v>
      </c>
    </row>
    <row r="505" spans="1:9" hidden="1">
      <c r="A505" s="324" t="s">
        <v>20</v>
      </c>
      <c r="B505" s="325" t="s">
        <v>21</v>
      </c>
      <c r="C505" s="334" t="s">
        <v>232</v>
      </c>
      <c r="D505" s="677">
        <v>11</v>
      </c>
      <c r="E505" s="678">
        <v>21600</v>
      </c>
      <c r="F505" s="678"/>
      <c r="G505" s="678"/>
      <c r="H505" s="777"/>
      <c r="I505" s="791">
        <f t="shared" si="173"/>
        <v>-1</v>
      </c>
    </row>
    <row r="506" spans="1:9" hidden="1">
      <c r="A506" s="324" t="s">
        <v>22</v>
      </c>
      <c r="B506" s="325" t="s">
        <v>23</v>
      </c>
      <c r="C506" s="334" t="s">
        <v>232</v>
      </c>
      <c r="D506" s="677">
        <v>11</v>
      </c>
      <c r="E506" s="678">
        <v>60000</v>
      </c>
      <c r="F506" s="678">
        <v>100000</v>
      </c>
      <c r="G506" s="678">
        <v>100000</v>
      </c>
      <c r="H506" s="777">
        <v>100000</v>
      </c>
      <c r="I506" s="791">
        <f t="shared" si="173"/>
        <v>0.66666666666666663</v>
      </c>
    </row>
    <row r="507" spans="1:9" hidden="1">
      <c r="A507" s="332" t="s">
        <v>24</v>
      </c>
      <c r="B507" s="321" t="s">
        <v>25</v>
      </c>
      <c r="C507" s="322" t="s">
        <v>232</v>
      </c>
      <c r="D507" s="675">
        <v>11</v>
      </c>
      <c r="E507" s="729">
        <f>E508</f>
        <v>30000</v>
      </c>
      <c r="F507" s="676">
        <f>F508</f>
        <v>50000</v>
      </c>
      <c r="G507" s="676">
        <f t="shared" ref="G507:H507" si="176">G508</f>
        <v>50000</v>
      </c>
      <c r="H507" s="775">
        <f t="shared" si="176"/>
        <v>50000</v>
      </c>
      <c r="I507" s="791">
        <f t="shared" si="173"/>
        <v>0.66666666666666663</v>
      </c>
    </row>
    <row r="508" spans="1:9" hidden="1">
      <c r="A508" s="324" t="s">
        <v>26</v>
      </c>
      <c r="B508" s="325" t="s">
        <v>27</v>
      </c>
      <c r="C508" s="334" t="s">
        <v>232</v>
      </c>
      <c r="D508" s="677">
        <v>11</v>
      </c>
      <c r="E508" s="730">
        <v>30000</v>
      </c>
      <c r="F508" s="678">
        <v>50000</v>
      </c>
      <c r="G508" s="678">
        <v>50000</v>
      </c>
      <c r="H508" s="777">
        <v>50000</v>
      </c>
      <c r="I508" s="791">
        <f t="shared" si="173"/>
        <v>0.66666666666666663</v>
      </c>
    </row>
    <row r="509" spans="1:9" hidden="1">
      <c r="A509" s="320" t="s">
        <v>34</v>
      </c>
      <c r="B509" s="321" t="s">
        <v>35</v>
      </c>
      <c r="C509" s="654" t="s">
        <v>232</v>
      </c>
      <c r="D509" s="675">
        <v>11</v>
      </c>
      <c r="E509" s="729">
        <f>SUM(E510:E513)</f>
        <v>440000</v>
      </c>
      <c r="F509" s="676">
        <f>SUM(F510:F513)</f>
        <v>270000</v>
      </c>
      <c r="G509" s="676">
        <f t="shared" ref="G509:H509" si="177">SUM(G510:G513)</f>
        <v>270000</v>
      </c>
      <c r="H509" s="775">
        <f t="shared" si="177"/>
        <v>270000</v>
      </c>
      <c r="I509" s="791">
        <f t="shared" si="173"/>
        <v>-0.38636363636363635</v>
      </c>
    </row>
    <row r="510" spans="1:9" hidden="1">
      <c r="A510" s="670">
        <v>3233</v>
      </c>
      <c r="B510" s="671" t="s">
        <v>41</v>
      </c>
      <c r="C510" s="672" t="s">
        <v>232</v>
      </c>
      <c r="D510" s="677">
        <v>11</v>
      </c>
      <c r="E510" s="730">
        <v>30000</v>
      </c>
      <c r="F510" s="678">
        <v>50000</v>
      </c>
      <c r="G510" s="678">
        <v>50000</v>
      </c>
      <c r="H510" s="777">
        <v>50000</v>
      </c>
      <c r="I510" s="791">
        <f t="shared" si="173"/>
        <v>0.66666666666666663</v>
      </c>
    </row>
    <row r="511" spans="1:9" hidden="1">
      <c r="A511" s="640">
        <v>3235</v>
      </c>
      <c r="B511" s="325" t="s">
        <v>45</v>
      </c>
      <c r="C511" s="655" t="s">
        <v>232</v>
      </c>
      <c r="D511" s="677">
        <v>11</v>
      </c>
      <c r="E511" s="730">
        <v>10000</v>
      </c>
      <c r="F511" s="678">
        <v>20000</v>
      </c>
      <c r="G511" s="678">
        <v>20000</v>
      </c>
      <c r="H511" s="777">
        <v>20000</v>
      </c>
      <c r="I511" s="791">
        <f t="shared" si="173"/>
        <v>1</v>
      </c>
    </row>
    <row r="512" spans="1:9" hidden="1">
      <c r="A512" s="640">
        <v>3237</v>
      </c>
      <c r="B512" s="325" t="s">
        <v>49</v>
      </c>
      <c r="C512" s="655" t="s">
        <v>232</v>
      </c>
      <c r="D512" s="677">
        <v>11</v>
      </c>
      <c r="E512" s="730">
        <v>400000</v>
      </c>
      <c r="F512" s="678">
        <v>150000</v>
      </c>
      <c r="G512" s="678">
        <v>150000</v>
      </c>
      <c r="H512" s="777">
        <v>150000</v>
      </c>
      <c r="I512" s="791">
        <f t="shared" si="173"/>
        <v>-0.625</v>
      </c>
    </row>
    <row r="513" spans="1:9" hidden="1">
      <c r="A513" s="324" t="s">
        <v>50</v>
      </c>
      <c r="B513" s="325" t="s">
        <v>51</v>
      </c>
      <c r="C513" s="334" t="s">
        <v>232</v>
      </c>
      <c r="D513" s="677">
        <v>11</v>
      </c>
      <c r="E513" s="730">
        <v>0</v>
      </c>
      <c r="F513" s="678">
        <v>50000</v>
      </c>
      <c r="G513" s="678">
        <v>50000</v>
      </c>
      <c r="H513" s="777">
        <v>50000</v>
      </c>
      <c r="I513" s="791" t="e">
        <f t="shared" si="173"/>
        <v>#DIV/0!</v>
      </c>
    </row>
    <row r="514" spans="1:9" hidden="1">
      <c r="A514" s="332" t="s">
        <v>57</v>
      </c>
      <c r="B514" s="321" t="s">
        <v>58</v>
      </c>
      <c r="C514" s="322" t="s">
        <v>232</v>
      </c>
      <c r="D514" s="675">
        <v>11</v>
      </c>
      <c r="E514" s="729">
        <f>E515</f>
        <v>30000</v>
      </c>
      <c r="F514" s="676">
        <f>F515</f>
        <v>50000</v>
      </c>
      <c r="G514" s="676">
        <f t="shared" ref="G514:H514" si="178">G515</f>
        <v>50000</v>
      </c>
      <c r="H514" s="775">
        <f t="shared" si="178"/>
        <v>50000</v>
      </c>
      <c r="I514" s="791">
        <f t="shared" si="173"/>
        <v>0.66666666666666663</v>
      </c>
    </row>
    <row r="515" spans="1:9" hidden="1">
      <c r="A515" s="339" t="s">
        <v>63</v>
      </c>
      <c r="B515" s="337" t="s">
        <v>64</v>
      </c>
      <c r="C515" s="334" t="s">
        <v>232</v>
      </c>
      <c r="D515" s="677">
        <v>11</v>
      </c>
      <c r="E515" s="730">
        <v>30000</v>
      </c>
      <c r="F515" s="678">
        <v>50000</v>
      </c>
      <c r="G515" s="678">
        <v>50000</v>
      </c>
      <c r="H515" s="777">
        <v>50000</v>
      </c>
      <c r="I515" s="791">
        <f t="shared" si="173"/>
        <v>0.66666666666666663</v>
      </c>
    </row>
    <row r="516" spans="1:9">
      <c r="A516" s="619" t="s">
        <v>449</v>
      </c>
      <c r="B516" s="620" t="s">
        <v>479</v>
      </c>
      <c r="C516" s="614" t="s">
        <v>232</v>
      </c>
      <c r="D516" s="620">
        <v>11</v>
      </c>
      <c r="E516" s="718">
        <f>E517</f>
        <v>15000</v>
      </c>
      <c r="F516" s="660">
        <f>F517</f>
        <v>0</v>
      </c>
      <c r="G516" s="660">
        <f t="shared" ref="G516:H517" si="179">G517</f>
        <v>0</v>
      </c>
      <c r="H516" s="767">
        <f t="shared" si="179"/>
        <v>0</v>
      </c>
      <c r="I516" s="791">
        <f t="shared" si="173"/>
        <v>-1</v>
      </c>
    </row>
    <row r="517" spans="1:9" hidden="1">
      <c r="A517" s="320" t="s">
        <v>83</v>
      </c>
      <c r="B517" s="321" t="s">
        <v>84</v>
      </c>
      <c r="C517" s="322" t="s">
        <v>232</v>
      </c>
      <c r="D517" s="675">
        <v>11</v>
      </c>
      <c r="E517" s="730">
        <f>E518</f>
        <v>15000</v>
      </c>
      <c r="F517" s="676">
        <f>F518</f>
        <v>0</v>
      </c>
      <c r="G517" s="676">
        <f t="shared" si="179"/>
        <v>0</v>
      </c>
      <c r="H517" s="775">
        <f t="shared" si="179"/>
        <v>0</v>
      </c>
      <c r="I517" s="791">
        <f t="shared" si="173"/>
        <v>-1</v>
      </c>
    </row>
    <row r="518" spans="1:9" hidden="1">
      <c r="A518" s="324" t="s">
        <v>85</v>
      </c>
      <c r="B518" s="325" t="s">
        <v>86</v>
      </c>
      <c r="C518" s="334" t="s">
        <v>232</v>
      </c>
      <c r="D518" s="677">
        <v>11</v>
      </c>
      <c r="E518" s="730">
        <v>15000</v>
      </c>
      <c r="F518" s="678"/>
      <c r="G518" s="678"/>
      <c r="H518" s="777"/>
      <c r="I518" s="791">
        <f t="shared" si="173"/>
        <v>-1</v>
      </c>
    </row>
    <row r="519" spans="1:9">
      <c r="A519" s="619" t="s">
        <v>481</v>
      </c>
      <c r="B519" s="620" t="s">
        <v>480</v>
      </c>
      <c r="C519" s="723" t="s">
        <v>232</v>
      </c>
      <c r="D519" s="620">
        <v>11</v>
      </c>
      <c r="E519" s="718">
        <f>E520+E522</f>
        <v>35000</v>
      </c>
      <c r="F519" s="660">
        <f>F520+F522</f>
        <v>100000</v>
      </c>
      <c r="G519" s="660">
        <f t="shared" ref="G519:H519" si="180">G520+G522</f>
        <v>100000</v>
      </c>
      <c r="H519" s="767">
        <f t="shared" si="180"/>
        <v>100000</v>
      </c>
      <c r="I519" s="791">
        <f t="shared" si="173"/>
        <v>1.8571428571428572</v>
      </c>
    </row>
    <row r="520" spans="1:9" hidden="1">
      <c r="A520" s="661" t="s">
        <v>88</v>
      </c>
      <c r="B520" s="662" t="s">
        <v>89</v>
      </c>
      <c r="C520" s="724" t="s">
        <v>232</v>
      </c>
      <c r="D520" s="675">
        <v>11</v>
      </c>
      <c r="E520" s="733">
        <f>E521</f>
        <v>35000</v>
      </c>
      <c r="F520" s="676">
        <f>F521</f>
        <v>50000</v>
      </c>
      <c r="G520" s="676">
        <f t="shared" ref="G520:H520" si="181">G521</f>
        <v>50000</v>
      </c>
      <c r="H520" s="775">
        <f t="shared" si="181"/>
        <v>50000</v>
      </c>
      <c r="I520" s="791">
        <f t="shared" si="173"/>
        <v>0.42857142857142855</v>
      </c>
    </row>
    <row r="521" spans="1:9" hidden="1">
      <c r="A521" s="680">
        <v>4221</v>
      </c>
      <c r="B521" s="681" t="s">
        <v>91</v>
      </c>
      <c r="C521" s="725" t="s">
        <v>232</v>
      </c>
      <c r="D521" s="677">
        <v>11</v>
      </c>
      <c r="E521" s="733">
        <v>35000</v>
      </c>
      <c r="F521" s="678">
        <v>50000</v>
      </c>
      <c r="G521" s="678">
        <v>50000</v>
      </c>
      <c r="H521" s="777">
        <v>50000</v>
      </c>
      <c r="I521" s="791">
        <f t="shared" si="173"/>
        <v>0.42857142857142855</v>
      </c>
    </row>
    <row r="522" spans="1:9" hidden="1">
      <c r="A522" s="696">
        <v>426</v>
      </c>
      <c r="B522" s="697" t="s">
        <v>181</v>
      </c>
      <c r="C522" s="726" t="s">
        <v>232</v>
      </c>
      <c r="D522" s="675">
        <v>11</v>
      </c>
      <c r="E522" s="731">
        <f>E523</f>
        <v>0</v>
      </c>
      <c r="F522" s="676">
        <f>F523</f>
        <v>50000</v>
      </c>
      <c r="G522" s="676">
        <f t="shared" ref="G522:H522" si="182">G523</f>
        <v>50000</v>
      </c>
      <c r="H522" s="775">
        <f t="shared" si="182"/>
        <v>50000</v>
      </c>
      <c r="I522" s="791" t="e">
        <f t="shared" si="173"/>
        <v>#DIV/0!</v>
      </c>
    </row>
    <row r="523" spans="1:9" hidden="1">
      <c r="A523" s="680">
        <v>4262</v>
      </c>
      <c r="B523" s="681" t="s">
        <v>288</v>
      </c>
      <c r="C523" s="725" t="s">
        <v>232</v>
      </c>
      <c r="D523" s="677">
        <v>11</v>
      </c>
      <c r="E523" s="733"/>
      <c r="F523" s="678">
        <v>50000</v>
      </c>
      <c r="G523" s="678">
        <v>50000</v>
      </c>
      <c r="H523" s="777">
        <v>50000</v>
      </c>
      <c r="I523" s="791" t="e">
        <f t="shared" si="173"/>
        <v>#DIV/0!</v>
      </c>
    </row>
    <row r="524" spans="1:9">
      <c r="A524" s="346" t="s">
        <v>517</v>
      </c>
      <c r="B524" s="346" t="s">
        <v>518</v>
      </c>
      <c r="C524" s="346" t="s">
        <v>232</v>
      </c>
      <c r="D524" s="694">
        <v>565</v>
      </c>
      <c r="E524" s="735">
        <f>E525+E526</f>
        <v>25000000</v>
      </c>
      <c r="F524" s="711">
        <f t="shared" ref="F524:H524" si="183">F525+F526</f>
        <v>76782353</v>
      </c>
      <c r="G524" s="711">
        <f t="shared" si="183"/>
        <v>107964706</v>
      </c>
      <c r="H524" s="778">
        <f t="shared" si="183"/>
        <v>30400000</v>
      </c>
      <c r="I524" s="792">
        <f t="shared" si="173"/>
        <v>2.0712941200000001</v>
      </c>
    </row>
    <row r="525" spans="1:9">
      <c r="A525" s="619" t="s">
        <v>235</v>
      </c>
      <c r="B525" s="620" t="s">
        <v>482</v>
      </c>
      <c r="C525" s="614" t="s">
        <v>232</v>
      </c>
      <c r="D525" s="620">
        <v>12</v>
      </c>
      <c r="E525" s="718">
        <f>E527+E533</f>
        <v>0</v>
      </c>
      <c r="F525" s="660">
        <f>F527+F533</f>
        <v>11517353</v>
      </c>
      <c r="G525" s="660">
        <f t="shared" ref="G525:H526" si="184">G527+G533</f>
        <v>16194706</v>
      </c>
      <c r="H525" s="767">
        <f t="shared" si="184"/>
        <v>4560000</v>
      </c>
      <c r="I525" s="791" t="e">
        <f t="shared" si="173"/>
        <v>#DIV/0!</v>
      </c>
    </row>
    <row r="526" spans="1:9">
      <c r="A526" s="619" t="s">
        <v>235</v>
      </c>
      <c r="B526" s="620" t="s">
        <v>482</v>
      </c>
      <c r="C526" s="614" t="s">
        <v>232</v>
      </c>
      <c r="D526" s="620">
        <v>565</v>
      </c>
      <c r="E526" s="732">
        <f>E528+E534</f>
        <v>25000000</v>
      </c>
      <c r="F526" s="660">
        <f>F528+F534</f>
        <v>65265000</v>
      </c>
      <c r="G526" s="660">
        <f t="shared" si="184"/>
        <v>91770000</v>
      </c>
      <c r="H526" s="767">
        <f t="shared" si="184"/>
        <v>25840000</v>
      </c>
      <c r="I526" s="791">
        <f t="shared" si="173"/>
        <v>1.6106</v>
      </c>
    </row>
    <row r="527" spans="1:9" hidden="1">
      <c r="A527" s="320" t="s">
        <v>342</v>
      </c>
      <c r="B527" s="321" t="s">
        <v>523</v>
      </c>
      <c r="C527" s="726" t="s">
        <v>232</v>
      </c>
      <c r="D527" s="675">
        <v>12</v>
      </c>
      <c r="E527" s="731">
        <f>E529+E531</f>
        <v>0</v>
      </c>
      <c r="F527" s="676">
        <f>F529+F531</f>
        <v>6840000</v>
      </c>
      <c r="G527" s="676">
        <f t="shared" ref="G527:H528" si="185">G529+G531</f>
        <v>6840000</v>
      </c>
      <c r="H527" s="775">
        <f t="shared" si="185"/>
        <v>4560000</v>
      </c>
      <c r="I527" s="791" t="e">
        <f t="shared" si="173"/>
        <v>#DIV/0!</v>
      </c>
    </row>
    <row r="528" spans="1:9" hidden="1">
      <c r="A528" s="320" t="s">
        <v>342</v>
      </c>
      <c r="B528" s="321" t="s">
        <v>523</v>
      </c>
      <c r="C528" s="726" t="s">
        <v>232</v>
      </c>
      <c r="D528" s="675">
        <v>565</v>
      </c>
      <c r="E528" s="731">
        <f>E530+E532</f>
        <v>0</v>
      </c>
      <c r="F528" s="676">
        <f>F530+F532</f>
        <v>38760000</v>
      </c>
      <c r="G528" s="676">
        <f t="shared" si="185"/>
        <v>38760000</v>
      </c>
      <c r="H528" s="775">
        <f t="shared" si="185"/>
        <v>25840000</v>
      </c>
      <c r="I528" s="791" t="e">
        <f t="shared" si="173"/>
        <v>#DIV/0!</v>
      </c>
    </row>
    <row r="529" spans="1:10" hidden="1">
      <c r="A529" s="339">
        <v>5163</v>
      </c>
      <c r="B529" s="337" t="s">
        <v>344</v>
      </c>
      <c r="C529" s="725" t="s">
        <v>232</v>
      </c>
      <c r="D529" s="677">
        <v>12</v>
      </c>
      <c r="E529" s="733"/>
      <c r="F529" s="678">
        <v>2736000</v>
      </c>
      <c r="G529" s="678">
        <v>2736000</v>
      </c>
      <c r="H529" s="777">
        <v>1824000</v>
      </c>
      <c r="I529" s="791" t="e">
        <f t="shared" si="173"/>
        <v>#DIV/0!</v>
      </c>
    </row>
    <row r="530" spans="1:10" hidden="1">
      <c r="A530" s="339">
        <v>5163</v>
      </c>
      <c r="B530" s="337" t="s">
        <v>344</v>
      </c>
      <c r="C530" s="725" t="s">
        <v>232</v>
      </c>
      <c r="D530" s="677">
        <v>565</v>
      </c>
      <c r="E530" s="733"/>
      <c r="F530" s="678">
        <v>15504000</v>
      </c>
      <c r="G530" s="678">
        <v>15504000</v>
      </c>
      <c r="H530" s="777">
        <v>10336000</v>
      </c>
      <c r="I530" s="791" t="e">
        <f t="shared" si="173"/>
        <v>#DIV/0!</v>
      </c>
    </row>
    <row r="531" spans="1:10" hidden="1">
      <c r="A531" s="339">
        <v>5164</v>
      </c>
      <c r="B531" s="337" t="s">
        <v>345</v>
      </c>
      <c r="C531" s="725" t="s">
        <v>232</v>
      </c>
      <c r="D531" s="677">
        <v>12</v>
      </c>
      <c r="E531" s="733"/>
      <c r="F531" s="678">
        <v>4104000</v>
      </c>
      <c r="G531" s="678">
        <v>4104000</v>
      </c>
      <c r="H531" s="777">
        <v>2736000</v>
      </c>
      <c r="I531" s="791" t="e">
        <f t="shared" ref="I531:I562" si="186">(F531-E531)/E531</f>
        <v>#DIV/0!</v>
      </c>
    </row>
    <row r="532" spans="1:10" hidden="1">
      <c r="A532" s="339">
        <v>5164</v>
      </c>
      <c r="B532" s="337" t="s">
        <v>345</v>
      </c>
      <c r="C532" s="725" t="s">
        <v>232</v>
      </c>
      <c r="D532" s="677">
        <v>565</v>
      </c>
      <c r="E532" s="733"/>
      <c r="F532" s="678">
        <v>23256000</v>
      </c>
      <c r="G532" s="678">
        <v>23256000</v>
      </c>
      <c r="H532" s="777">
        <v>15504000</v>
      </c>
      <c r="I532" s="791" t="e">
        <f t="shared" si="186"/>
        <v>#DIV/0!</v>
      </c>
    </row>
    <row r="533" spans="1:10" hidden="1">
      <c r="A533" s="320" t="s">
        <v>488</v>
      </c>
      <c r="B533" s="321" t="s">
        <v>428</v>
      </c>
      <c r="C533" s="726" t="s">
        <v>232</v>
      </c>
      <c r="D533" s="675">
        <v>12</v>
      </c>
      <c r="E533" s="733">
        <f>E535</f>
        <v>0</v>
      </c>
      <c r="F533" s="676">
        <f>F535</f>
        <v>4677353</v>
      </c>
      <c r="G533" s="676">
        <f t="shared" ref="G533:H534" si="187">G535</f>
        <v>9354706</v>
      </c>
      <c r="H533" s="775">
        <f t="shared" si="187"/>
        <v>0</v>
      </c>
      <c r="I533" s="791" t="e">
        <f t="shared" si="186"/>
        <v>#DIV/0!</v>
      </c>
    </row>
    <row r="534" spans="1:10" hidden="1">
      <c r="A534" s="320" t="s">
        <v>488</v>
      </c>
      <c r="B534" s="321" t="s">
        <v>428</v>
      </c>
      <c r="C534" s="726" t="s">
        <v>232</v>
      </c>
      <c r="D534" s="675">
        <v>565</v>
      </c>
      <c r="E534" s="731">
        <f>E536</f>
        <v>25000000</v>
      </c>
      <c r="F534" s="676">
        <f>F536</f>
        <v>26505000</v>
      </c>
      <c r="G534" s="676">
        <f t="shared" si="187"/>
        <v>53010000</v>
      </c>
      <c r="H534" s="775">
        <f t="shared" si="187"/>
        <v>0</v>
      </c>
      <c r="I534" s="791">
        <f t="shared" si="186"/>
        <v>6.0199999999999997E-2</v>
      </c>
    </row>
    <row r="535" spans="1:10" ht="14.25" hidden="1" customHeight="1">
      <c r="A535" s="339">
        <v>5181</v>
      </c>
      <c r="B535" s="337" t="s">
        <v>429</v>
      </c>
      <c r="C535" s="725" t="s">
        <v>232</v>
      </c>
      <c r="D535" s="677">
        <v>12</v>
      </c>
      <c r="E535" s="733"/>
      <c r="F535" s="678">
        <v>4677353</v>
      </c>
      <c r="G535" s="678">
        <v>9354706</v>
      </c>
      <c r="H535" s="777"/>
      <c r="I535" s="791" t="e">
        <f t="shared" si="186"/>
        <v>#DIV/0!</v>
      </c>
    </row>
    <row r="536" spans="1:10" hidden="1">
      <c r="A536" s="339">
        <v>5181</v>
      </c>
      <c r="B536" s="710" t="s">
        <v>429</v>
      </c>
      <c r="C536" s="727" t="s">
        <v>232</v>
      </c>
      <c r="D536" s="677">
        <v>565</v>
      </c>
      <c r="E536" s="733">
        <v>25000000</v>
      </c>
      <c r="F536" s="678">
        <v>26505000</v>
      </c>
      <c r="G536" s="678">
        <v>53010000</v>
      </c>
      <c r="H536" s="777"/>
      <c r="I536" s="791">
        <f t="shared" si="186"/>
        <v>6.0199999999999997E-2</v>
      </c>
    </row>
    <row r="537" spans="1:10">
      <c r="A537" s="316" t="s">
        <v>527</v>
      </c>
      <c r="B537" s="317" t="s">
        <v>528</v>
      </c>
      <c r="C537" s="318" t="s">
        <v>232</v>
      </c>
      <c r="D537" s="319"/>
      <c r="E537" s="319">
        <f>E538+E539+E562+E563+E635+E636+E641+E642+E647+E648</f>
        <v>0</v>
      </c>
      <c r="F537" s="319">
        <f>F538+F539+F556+F557+F584+F585+F590+F591</f>
        <v>3748362.8</v>
      </c>
      <c r="G537" s="319">
        <f>G538+G539+G556+G557+G584+G585+G590+G591</f>
        <v>2877200</v>
      </c>
      <c r="H537" s="319">
        <f>H538+H539+H556+H557+H584+H585+H590+H591</f>
        <v>2890200</v>
      </c>
      <c r="I537" s="792" t="e">
        <f t="shared" si="186"/>
        <v>#DIV/0!</v>
      </c>
    </row>
    <row r="538" spans="1:10">
      <c r="A538" s="612" t="s">
        <v>272</v>
      </c>
      <c r="B538" s="613" t="s">
        <v>474</v>
      </c>
      <c r="C538" s="614" t="s">
        <v>232</v>
      </c>
      <c r="D538" s="616">
        <v>12</v>
      </c>
      <c r="E538" s="615">
        <f>E540+E546+E550</f>
        <v>0</v>
      </c>
      <c r="F538" s="615">
        <f>F540+F546+F550</f>
        <v>364824.42</v>
      </c>
      <c r="G538" s="615">
        <f t="shared" ref="G538:H539" si="188">G540+G546+G550</f>
        <v>366600</v>
      </c>
      <c r="H538" s="746">
        <f t="shared" si="188"/>
        <v>368500</v>
      </c>
      <c r="I538" s="791" t="e">
        <f t="shared" si="186"/>
        <v>#DIV/0!</v>
      </c>
    </row>
    <row r="539" spans="1:10">
      <c r="A539" s="612" t="s">
        <v>272</v>
      </c>
      <c r="B539" s="613" t="s">
        <v>474</v>
      </c>
      <c r="C539" s="614" t="s">
        <v>232</v>
      </c>
      <c r="D539" s="616">
        <v>565</v>
      </c>
      <c r="E539" s="615">
        <f>E541+E547+E551</f>
        <v>0</v>
      </c>
      <c r="F539" s="615">
        <f>F541+F547+F551</f>
        <v>2067338.38</v>
      </c>
      <c r="G539" s="615">
        <f t="shared" si="188"/>
        <v>2077300</v>
      </c>
      <c r="H539" s="746">
        <f t="shared" si="188"/>
        <v>2088400</v>
      </c>
      <c r="I539" s="791" t="e">
        <f t="shared" si="186"/>
        <v>#DIV/0!</v>
      </c>
    </row>
    <row r="540" spans="1:10" hidden="1">
      <c r="A540" s="320" t="s">
        <v>1</v>
      </c>
      <c r="B540" s="321" t="s">
        <v>2</v>
      </c>
      <c r="C540" s="322" t="s">
        <v>232</v>
      </c>
      <c r="D540" s="322">
        <v>12</v>
      </c>
      <c r="E540" s="323">
        <f>E542+E544</f>
        <v>0</v>
      </c>
      <c r="F540" s="323">
        <f>F542+F544</f>
        <v>313485</v>
      </c>
      <c r="G540" s="323">
        <f t="shared" ref="G540:H541" si="189">G542+G544</f>
        <v>315000</v>
      </c>
      <c r="H540" s="747">
        <f t="shared" si="189"/>
        <v>316500</v>
      </c>
      <c r="I540" s="791" t="e">
        <f t="shared" si="186"/>
        <v>#DIV/0!</v>
      </c>
    </row>
    <row r="541" spans="1:10" hidden="1">
      <c r="A541" s="320" t="s">
        <v>1</v>
      </c>
      <c r="B541" s="321" t="s">
        <v>2</v>
      </c>
      <c r="C541" s="322" t="s">
        <v>232</v>
      </c>
      <c r="D541" s="322" t="s">
        <v>521</v>
      </c>
      <c r="E541" s="323">
        <f>E543+E545</f>
        <v>0</v>
      </c>
      <c r="F541" s="323">
        <f>F543+F545</f>
        <v>1776415</v>
      </c>
      <c r="G541" s="323">
        <f t="shared" si="189"/>
        <v>1784900</v>
      </c>
      <c r="H541" s="747">
        <f t="shared" si="189"/>
        <v>1793400</v>
      </c>
      <c r="I541" s="791" t="e">
        <f t="shared" si="186"/>
        <v>#DIV/0!</v>
      </c>
    </row>
    <row r="542" spans="1:10" hidden="1">
      <c r="A542" s="324" t="s">
        <v>3</v>
      </c>
      <c r="B542" s="325" t="s">
        <v>4</v>
      </c>
      <c r="C542" s="334" t="s">
        <v>232</v>
      </c>
      <c r="D542" s="334" t="s">
        <v>82</v>
      </c>
      <c r="E542" s="335">
        <v>0</v>
      </c>
      <c r="F542" s="335">
        <v>298485</v>
      </c>
      <c r="G542" s="335">
        <v>300000</v>
      </c>
      <c r="H542" s="750">
        <v>301500</v>
      </c>
      <c r="I542" s="791" t="e">
        <f t="shared" si="186"/>
        <v>#DIV/0!</v>
      </c>
      <c r="J542" s="22"/>
    </row>
    <row r="543" spans="1:10" hidden="1">
      <c r="A543" s="324" t="s">
        <v>3</v>
      </c>
      <c r="B543" s="325" t="s">
        <v>4</v>
      </c>
      <c r="C543" s="334" t="s">
        <v>232</v>
      </c>
      <c r="D543" s="334" t="s">
        <v>521</v>
      </c>
      <c r="E543" s="335">
        <v>0</v>
      </c>
      <c r="F543" s="335">
        <v>1691415</v>
      </c>
      <c r="G543" s="335">
        <v>1699900</v>
      </c>
      <c r="H543" s="750">
        <v>1708400</v>
      </c>
      <c r="I543" s="791" t="e">
        <f t="shared" si="186"/>
        <v>#DIV/0!</v>
      </c>
      <c r="J543" s="22"/>
    </row>
    <row r="544" spans="1:10" hidden="1">
      <c r="A544" s="336" t="s">
        <v>5</v>
      </c>
      <c r="B544" s="337" t="s">
        <v>6</v>
      </c>
      <c r="C544" s="334" t="s">
        <v>232</v>
      </c>
      <c r="D544" s="334" t="s">
        <v>82</v>
      </c>
      <c r="E544" s="335">
        <v>0</v>
      </c>
      <c r="F544" s="335">
        <v>15000</v>
      </c>
      <c r="G544" s="335">
        <v>15000</v>
      </c>
      <c r="H544" s="750">
        <v>15000</v>
      </c>
      <c r="I544" s="791" t="e">
        <f t="shared" si="186"/>
        <v>#DIV/0!</v>
      </c>
    </row>
    <row r="545" spans="1:9" hidden="1">
      <c r="A545" s="336" t="s">
        <v>5</v>
      </c>
      <c r="B545" s="337" t="s">
        <v>6</v>
      </c>
      <c r="C545" s="334" t="s">
        <v>232</v>
      </c>
      <c r="D545" s="334" t="s">
        <v>521</v>
      </c>
      <c r="E545" s="335">
        <v>0</v>
      </c>
      <c r="F545" s="335">
        <v>85000</v>
      </c>
      <c r="G545" s="335">
        <v>85000</v>
      </c>
      <c r="H545" s="750">
        <v>85000</v>
      </c>
      <c r="I545" s="791" t="e">
        <f t="shared" si="186"/>
        <v>#DIV/0!</v>
      </c>
    </row>
    <row r="546" spans="1:9" hidden="1">
      <c r="A546" s="320" t="s">
        <v>7</v>
      </c>
      <c r="B546" s="321" t="s">
        <v>8</v>
      </c>
      <c r="C546" s="334" t="s">
        <v>232</v>
      </c>
      <c r="D546" s="322">
        <v>12</v>
      </c>
      <c r="E546" s="323">
        <f>E548</f>
        <v>0</v>
      </c>
      <c r="F546" s="323">
        <f>F548</f>
        <v>0</v>
      </c>
      <c r="G546" s="323">
        <f t="shared" ref="G546:H547" si="190">G548</f>
        <v>0</v>
      </c>
      <c r="H546" s="747">
        <f t="shared" si="190"/>
        <v>0</v>
      </c>
      <c r="I546" s="791" t="e">
        <f t="shared" si="186"/>
        <v>#DIV/0!</v>
      </c>
    </row>
    <row r="547" spans="1:9" hidden="1">
      <c r="A547" s="320" t="s">
        <v>7</v>
      </c>
      <c r="B547" s="321" t="s">
        <v>8</v>
      </c>
      <c r="C547" s="334" t="s">
        <v>232</v>
      </c>
      <c r="D547" s="322" t="s">
        <v>521</v>
      </c>
      <c r="E547" s="323">
        <f>E549</f>
        <v>0</v>
      </c>
      <c r="F547" s="323">
        <f>F549</f>
        <v>0</v>
      </c>
      <c r="G547" s="323">
        <f t="shared" si="190"/>
        <v>0</v>
      </c>
      <c r="H547" s="747">
        <f t="shared" si="190"/>
        <v>0</v>
      </c>
      <c r="I547" s="791" t="e">
        <f t="shared" si="186"/>
        <v>#DIV/0!</v>
      </c>
    </row>
    <row r="548" spans="1:9" hidden="1">
      <c r="A548" s="324" t="s">
        <v>9</v>
      </c>
      <c r="B548" s="325" t="s">
        <v>8</v>
      </c>
      <c r="C548" s="334" t="s">
        <v>232</v>
      </c>
      <c r="D548" s="334" t="s">
        <v>82</v>
      </c>
      <c r="E548" s="335">
        <v>0</v>
      </c>
      <c r="F548" s="335"/>
      <c r="G548" s="335"/>
      <c r="H548" s="750"/>
      <c r="I548" s="791" t="e">
        <f t="shared" si="186"/>
        <v>#DIV/0!</v>
      </c>
    </row>
    <row r="549" spans="1:9" hidden="1">
      <c r="A549" s="324" t="s">
        <v>9</v>
      </c>
      <c r="B549" s="325" t="s">
        <v>8</v>
      </c>
      <c r="C549" s="334" t="s">
        <v>232</v>
      </c>
      <c r="D549" s="334" t="s">
        <v>521</v>
      </c>
      <c r="E549" s="335">
        <v>0</v>
      </c>
      <c r="F549" s="335"/>
      <c r="G549" s="335"/>
      <c r="H549" s="750"/>
      <c r="I549" s="791" t="e">
        <f t="shared" si="186"/>
        <v>#DIV/0!</v>
      </c>
    </row>
    <row r="550" spans="1:9" hidden="1">
      <c r="A550" s="320" t="s">
        <v>10</v>
      </c>
      <c r="B550" s="321" t="s">
        <v>11</v>
      </c>
      <c r="C550" s="334" t="s">
        <v>232</v>
      </c>
      <c r="D550" s="322">
        <v>12</v>
      </c>
      <c r="E550" s="323">
        <f>E552+E554</f>
        <v>0</v>
      </c>
      <c r="F550" s="323">
        <f>F552+F554</f>
        <v>51339.42</v>
      </c>
      <c r="G550" s="323">
        <f t="shared" ref="G550:H551" si="191">G552+G554</f>
        <v>51600</v>
      </c>
      <c r="H550" s="747">
        <f t="shared" si="191"/>
        <v>52000</v>
      </c>
      <c r="I550" s="791" t="e">
        <f t="shared" si="186"/>
        <v>#DIV/0!</v>
      </c>
    </row>
    <row r="551" spans="1:9" hidden="1">
      <c r="A551" s="320" t="s">
        <v>10</v>
      </c>
      <c r="B551" s="321" t="s">
        <v>11</v>
      </c>
      <c r="C551" s="334" t="s">
        <v>232</v>
      </c>
      <c r="D551" s="322" t="s">
        <v>521</v>
      </c>
      <c r="E551" s="323">
        <f>E553+E555</f>
        <v>0</v>
      </c>
      <c r="F551" s="323">
        <f>F553+F555</f>
        <v>290923.38</v>
      </c>
      <c r="G551" s="323">
        <f t="shared" si="191"/>
        <v>292400</v>
      </c>
      <c r="H551" s="747">
        <f t="shared" si="191"/>
        <v>295000</v>
      </c>
      <c r="I551" s="791" t="e">
        <f t="shared" si="186"/>
        <v>#DIV/0!</v>
      </c>
    </row>
    <row r="552" spans="1:9" hidden="1">
      <c r="A552" s="324" t="s">
        <v>12</v>
      </c>
      <c r="B552" s="325" t="s">
        <v>13</v>
      </c>
      <c r="C552" s="334" t="s">
        <v>232</v>
      </c>
      <c r="D552" s="334" t="s">
        <v>82</v>
      </c>
      <c r="E552" s="335">
        <v>0</v>
      </c>
      <c r="F552" s="335">
        <v>46265.174999999996</v>
      </c>
      <c r="G552" s="335">
        <f>G542*15.5%</f>
        <v>46500</v>
      </c>
      <c r="H552" s="750">
        <v>46800</v>
      </c>
      <c r="I552" s="791" t="e">
        <f t="shared" si="186"/>
        <v>#DIV/0!</v>
      </c>
    </row>
    <row r="553" spans="1:9" hidden="1">
      <c r="A553" s="324" t="s">
        <v>12</v>
      </c>
      <c r="B553" s="325" t="s">
        <v>13</v>
      </c>
      <c r="C553" s="334" t="s">
        <v>232</v>
      </c>
      <c r="D553" s="334" t="s">
        <v>521</v>
      </c>
      <c r="E553" s="335">
        <v>0</v>
      </c>
      <c r="F553" s="335">
        <v>262169.32500000001</v>
      </c>
      <c r="G553" s="335">
        <v>263500</v>
      </c>
      <c r="H553" s="750">
        <v>265000</v>
      </c>
      <c r="I553" s="791" t="e">
        <f t="shared" si="186"/>
        <v>#DIV/0!</v>
      </c>
    </row>
    <row r="554" spans="1:9" hidden="1">
      <c r="A554" s="324" t="s">
        <v>14</v>
      </c>
      <c r="B554" s="325" t="s">
        <v>293</v>
      </c>
      <c r="C554" s="334" t="s">
        <v>232</v>
      </c>
      <c r="D554" s="334" t="s">
        <v>82</v>
      </c>
      <c r="E554" s="335">
        <v>0</v>
      </c>
      <c r="F554" s="335">
        <v>5074.2449999999999</v>
      </c>
      <c r="G554" s="335">
        <f>G542*1.7%</f>
        <v>5100</v>
      </c>
      <c r="H554" s="750">
        <v>5200</v>
      </c>
      <c r="I554" s="791" t="e">
        <f t="shared" si="186"/>
        <v>#DIV/0!</v>
      </c>
    </row>
    <row r="555" spans="1:9" hidden="1">
      <c r="A555" s="324" t="s">
        <v>14</v>
      </c>
      <c r="B555" s="325" t="s">
        <v>293</v>
      </c>
      <c r="C555" s="334" t="s">
        <v>232</v>
      </c>
      <c r="D555" s="334" t="s">
        <v>521</v>
      </c>
      <c r="E555" s="335">
        <v>0</v>
      </c>
      <c r="F555" s="335">
        <v>28754.055</v>
      </c>
      <c r="G555" s="335">
        <v>28900</v>
      </c>
      <c r="H555" s="750">
        <v>30000</v>
      </c>
      <c r="I555" s="791" t="e">
        <f t="shared" si="186"/>
        <v>#DIV/0!</v>
      </c>
    </row>
    <row r="556" spans="1:9">
      <c r="A556" s="612" t="s">
        <v>475</v>
      </c>
      <c r="B556" s="613" t="s">
        <v>476</v>
      </c>
      <c r="C556" s="614" t="s">
        <v>232</v>
      </c>
      <c r="D556" s="616">
        <v>12</v>
      </c>
      <c r="E556" s="615">
        <f>E558+E594+E602+E612+E614</f>
        <v>0</v>
      </c>
      <c r="F556" s="615">
        <f>F558+F568+F576+F580+F564</f>
        <v>64950</v>
      </c>
      <c r="G556" s="615">
        <f t="shared" ref="G556:H556" si="192">G558+G568+G576+G580+G564</f>
        <v>64950</v>
      </c>
      <c r="H556" s="615">
        <f t="shared" si="192"/>
        <v>64950</v>
      </c>
      <c r="I556" s="791" t="e">
        <f t="shared" si="186"/>
        <v>#DIV/0!</v>
      </c>
    </row>
    <row r="557" spans="1:9">
      <c r="A557" s="612" t="s">
        <v>475</v>
      </c>
      <c r="B557" s="613" t="s">
        <v>476</v>
      </c>
      <c r="C557" s="614" t="s">
        <v>232</v>
      </c>
      <c r="D557" s="616">
        <v>565</v>
      </c>
      <c r="E557" s="615">
        <f>E559</f>
        <v>0</v>
      </c>
      <c r="F557" s="615">
        <f>F559+F569+F577+F580+F581+F565</f>
        <v>368350</v>
      </c>
      <c r="G557" s="615">
        <f t="shared" ref="G557:H557" si="193">G559+G569+G577+G580+G581+G565</f>
        <v>368350</v>
      </c>
      <c r="H557" s="615">
        <f t="shared" si="193"/>
        <v>368350</v>
      </c>
      <c r="I557" s="791" t="e">
        <f t="shared" si="186"/>
        <v>#DIV/0!</v>
      </c>
    </row>
    <row r="558" spans="1:9" hidden="1">
      <c r="A558" s="320" t="s">
        <v>16</v>
      </c>
      <c r="B558" s="321" t="s">
        <v>17</v>
      </c>
      <c r="C558" s="322" t="s">
        <v>232</v>
      </c>
      <c r="D558" s="333" t="s">
        <v>82</v>
      </c>
      <c r="E558" s="323">
        <f>SUM(E589:E593)</f>
        <v>0</v>
      </c>
      <c r="F558" s="323">
        <f>F562+F560</f>
        <v>22800</v>
      </c>
      <c r="G558" s="323">
        <f t="shared" ref="G558:H559" si="194">G562+G560</f>
        <v>22800</v>
      </c>
      <c r="H558" s="323">
        <f t="shared" si="194"/>
        <v>22800</v>
      </c>
      <c r="I558" s="791" t="e">
        <f t="shared" si="186"/>
        <v>#DIV/0!</v>
      </c>
    </row>
    <row r="559" spans="1:9" hidden="1">
      <c r="A559" s="320" t="s">
        <v>16</v>
      </c>
      <c r="B559" s="321" t="s">
        <v>17</v>
      </c>
      <c r="C559" s="322" t="s">
        <v>232</v>
      </c>
      <c r="D559" s="333" t="s">
        <v>521</v>
      </c>
      <c r="E559" s="323">
        <f>E592</f>
        <v>0</v>
      </c>
      <c r="F559" s="323">
        <f>F563+F561</f>
        <v>129200</v>
      </c>
      <c r="G559" s="323">
        <f t="shared" si="194"/>
        <v>129200</v>
      </c>
      <c r="H559" s="323">
        <f t="shared" si="194"/>
        <v>129200</v>
      </c>
      <c r="I559" s="791" t="e">
        <f t="shared" si="186"/>
        <v>#DIV/0!</v>
      </c>
    </row>
    <row r="560" spans="1:9" hidden="1">
      <c r="A560" s="324" t="s">
        <v>18</v>
      </c>
      <c r="B560" s="325" t="s">
        <v>19</v>
      </c>
      <c r="C560" s="334" t="s">
        <v>232</v>
      </c>
      <c r="D560" s="326" t="s">
        <v>82</v>
      </c>
      <c r="E560" s="327">
        <v>0</v>
      </c>
      <c r="F560" s="341">
        <v>7500</v>
      </c>
      <c r="G560" s="341">
        <v>7500</v>
      </c>
      <c r="H560" s="341">
        <v>7500</v>
      </c>
      <c r="I560" s="791" t="e">
        <f t="shared" si="186"/>
        <v>#DIV/0!</v>
      </c>
    </row>
    <row r="561" spans="1:9" hidden="1">
      <c r="A561" s="324" t="s">
        <v>18</v>
      </c>
      <c r="B561" s="325" t="s">
        <v>19</v>
      </c>
      <c r="C561" s="334" t="s">
        <v>232</v>
      </c>
      <c r="D561" s="326" t="s">
        <v>521</v>
      </c>
      <c r="E561" s="327">
        <v>0</v>
      </c>
      <c r="F561" s="341">
        <v>42500</v>
      </c>
      <c r="G561" s="341">
        <v>42500</v>
      </c>
      <c r="H561" s="341">
        <v>42500</v>
      </c>
      <c r="I561" s="791" t="e">
        <f t="shared" si="186"/>
        <v>#DIV/0!</v>
      </c>
    </row>
    <row r="562" spans="1:9" hidden="1">
      <c r="A562" s="324" t="s">
        <v>20</v>
      </c>
      <c r="B562" s="325" t="s">
        <v>21</v>
      </c>
      <c r="C562" s="334" t="s">
        <v>232</v>
      </c>
      <c r="D562" s="334" t="s">
        <v>82</v>
      </c>
      <c r="E562" s="335">
        <v>0</v>
      </c>
      <c r="F562" s="335">
        <v>15300</v>
      </c>
      <c r="G562" s="335">
        <v>15300</v>
      </c>
      <c r="H562" s="335">
        <v>15300</v>
      </c>
      <c r="I562" s="791" t="e">
        <f t="shared" si="186"/>
        <v>#DIV/0!</v>
      </c>
    </row>
    <row r="563" spans="1:9" hidden="1">
      <c r="A563" s="324" t="s">
        <v>20</v>
      </c>
      <c r="B563" s="325" t="s">
        <v>21</v>
      </c>
      <c r="C563" s="334" t="s">
        <v>232</v>
      </c>
      <c r="D563" s="334" t="s">
        <v>521</v>
      </c>
      <c r="E563" s="335">
        <v>0</v>
      </c>
      <c r="F563" s="335">
        <v>86700</v>
      </c>
      <c r="G563" s="335">
        <v>86700</v>
      </c>
      <c r="H563" s="335">
        <v>86700</v>
      </c>
      <c r="I563" s="791" t="e">
        <f t="shared" ref="I563:I594" si="195">(F563-E563)/E563</f>
        <v>#DIV/0!</v>
      </c>
    </row>
    <row r="564" spans="1:9" hidden="1">
      <c r="A564" s="320" t="s">
        <v>24</v>
      </c>
      <c r="B564" s="321" t="s">
        <v>25</v>
      </c>
      <c r="C564" s="322" t="s">
        <v>232</v>
      </c>
      <c r="D564" s="322" t="s">
        <v>82</v>
      </c>
      <c r="E564" s="335">
        <v>0</v>
      </c>
      <c r="F564" s="323">
        <f>F566</f>
        <v>3000</v>
      </c>
      <c r="G564" s="323">
        <f t="shared" ref="G564:H565" si="196">G566</f>
        <v>3000</v>
      </c>
      <c r="H564" s="323">
        <f t="shared" si="196"/>
        <v>3000</v>
      </c>
      <c r="I564" s="791" t="e">
        <f t="shared" si="195"/>
        <v>#DIV/0!</v>
      </c>
    </row>
    <row r="565" spans="1:9" hidden="1">
      <c r="A565" s="320" t="s">
        <v>24</v>
      </c>
      <c r="B565" s="321" t="s">
        <v>25</v>
      </c>
      <c r="C565" s="322" t="s">
        <v>232</v>
      </c>
      <c r="D565" s="322" t="s">
        <v>521</v>
      </c>
      <c r="E565" s="335">
        <v>0</v>
      </c>
      <c r="F565" s="323">
        <f>F567</f>
        <v>17000</v>
      </c>
      <c r="G565" s="323">
        <f t="shared" si="196"/>
        <v>17000</v>
      </c>
      <c r="H565" s="323">
        <f t="shared" si="196"/>
        <v>17000</v>
      </c>
      <c r="I565" s="791" t="e">
        <f t="shared" si="195"/>
        <v>#DIV/0!</v>
      </c>
    </row>
    <row r="566" spans="1:9" hidden="1">
      <c r="A566" s="324" t="s">
        <v>28</v>
      </c>
      <c r="B566" s="330" t="s">
        <v>29</v>
      </c>
      <c r="C566" s="334" t="s">
        <v>232</v>
      </c>
      <c r="D566" s="334" t="s">
        <v>82</v>
      </c>
      <c r="E566" s="335">
        <v>0</v>
      </c>
      <c r="F566" s="335">
        <v>3000</v>
      </c>
      <c r="G566" s="335">
        <v>3000</v>
      </c>
      <c r="H566" s="335">
        <v>3000</v>
      </c>
      <c r="I566" s="791" t="e">
        <f t="shared" si="195"/>
        <v>#DIV/0!</v>
      </c>
    </row>
    <row r="567" spans="1:9" hidden="1">
      <c r="A567" s="324" t="s">
        <v>28</v>
      </c>
      <c r="B567" s="330" t="s">
        <v>29</v>
      </c>
      <c r="C567" s="334" t="s">
        <v>232</v>
      </c>
      <c r="D567" s="334" t="s">
        <v>521</v>
      </c>
      <c r="E567" s="335">
        <v>0</v>
      </c>
      <c r="F567" s="335">
        <v>17000</v>
      </c>
      <c r="G567" s="335">
        <v>17000</v>
      </c>
      <c r="H567" s="335">
        <v>17000</v>
      </c>
      <c r="I567" s="791" t="e">
        <f t="shared" si="195"/>
        <v>#DIV/0!</v>
      </c>
    </row>
    <row r="568" spans="1:9" hidden="1">
      <c r="A568" s="332">
        <v>323</v>
      </c>
      <c r="B568" s="321" t="s">
        <v>35</v>
      </c>
      <c r="C568" s="322" t="s">
        <v>232</v>
      </c>
      <c r="D568" s="322" t="s">
        <v>82</v>
      </c>
      <c r="E568" s="335">
        <v>0</v>
      </c>
      <c r="F568" s="323">
        <f t="shared" ref="F568:H569" si="197">F574+F572+F570</f>
        <v>36600</v>
      </c>
      <c r="G568" s="323">
        <f t="shared" si="197"/>
        <v>36600</v>
      </c>
      <c r="H568" s="323">
        <f t="shared" si="197"/>
        <v>36600</v>
      </c>
      <c r="I568" s="791" t="e">
        <f t="shared" si="195"/>
        <v>#DIV/0!</v>
      </c>
    </row>
    <row r="569" spans="1:9" hidden="1">
      <c r="A569" s="332">
        <v>323</v>
      </c>
      <c r="B569" s="321" t="s">
        <v>35</v>
      </c>
      <c r="C569" s="322" t="s">
        <v>232</v>
      </c>
      <c r="D569" s="322" t="s">
        <v>521</v>
      </c>
      <c r="E569" s="335">
        <f>E574</f>
        <v>0</v>
      </c>
      <c r="F569" s="323">
        <f t="shared" si="197"/>
        <v>207400</v>
      </c>
      <c r="G569" s="323">
        <f t="shared" si="197"/>
        <v>207400</v>
      </c>
      <c r="H569" s="323">
        <f t="shared" si="197"/>
        <v>207400</v>
      </c>
      <c r="I569" s="791" t="e">
        <f t="shared" si="195"/>
        <v>#DIV/0!</v>
      </c>
    </row>
    <row r="570" spans="1:9" hidden="1">
      <c r="A570" s="324" t="s">
        <v>38</v>
      </c>
      <c r="B570" s="325" t="s">
        <v>39</v>
      </c>
      <c r="C570" s="334" t="s">
        <v>232</v>
      </c>
      <c r="D570" s="334" t="s">
        <v>82</v>
      </c>
      <c r="E570" s="335">
        <v>0</v>
      </c>
      <c r="F570" s="335">
        <v>3600</v>
      </c>
      <c r="G570" s="335">
        <v>3600</v>
      </c>
      <c r="H570" s="335">
        <v>3600</v>
      </c>
      <c r="I570" s="807" t="e">
        <f t="shared" si="195"/>
        <v>#DIV/0!</v>
      </c>
    </row>
    <row r="571" spans="1:9" hidden="1">
      <c r="A571" s="324" t="s">
        <v>38</v>
      </c>
      <c r="B571" s="325" t="s">
        <v>39</v>
      </c>
      <c r="C571" s="334" t="s">
        <v>232</v>
      </c>
      <c r="D571" s="334" t="s">
        <v>521</v>
      </c>
      <c r="E571" s="335">
        <v>0</v>
      </c>
      <c r="F571" s="335">
        <v>20400</v>
      </c>
      <c r="G571" s="335">
        <v>20400</v>
      </c>
      <c r="H571" s="335">
        <v>20400</v>
      </c>
      <c r="I571" s="807" t="e">
        <f t="shared" si="195"/>
        <v>#DIV/0!</v>
      </c>
    </row>
    <row r="572" spans="1:9" hidden="1">
      <c r="A572" s="324" t="s">
        <v>42</v>
      </c>
      <c r="B572" s="325" t="s">
        <v>43</v>
      </c>
      <c r="C572" s="334" t="s">
        <v>232</v>
      </c>
      <c r="D572" s="334" t="s">
        <v>82</v>
      </c>
      <c r="E572" s="335">
        <v>0</v>
      </c>
      <c r="F572" s="335">
        <v>3000</v>
      </c>
      <c r="G572" s="335">
        <v>3000</v>
      </c>
      <c r="H572" s="335">
        <v>3000</v>
      </c>
      <c r="I572" s="807" t="e">
        <f t="shared" si="195"/>
        <v>#DIV/0!</v>
      </c>
    </row>
    <row r="573" spans="1:9" hidden="1">
      <c r="A573" s="324" t="s">
        <v>42</v>
      </c>
      <c r="B573" s="325" t="s">
        <v>43</v>
      </c>
      <c r="C573" s="334" t="s">
        <v>232</v>
      </c>
      <c r="D573" s="334" t="s">
        <v>521</v>
      </c>
      <c r="E573" s="335">
        <v>0</v>
      </c>
      <c r="F573" s="335">
        <v>17000</v>
      </c>
      <c r="G573" s="335">
        <v>17000</v>
      </c>
      <c r="H573" s="335">
        <v>17000</v>
      </c>
      <c r="I573" s="807" t="e">
        <f t="shared" si="195"/>
        <v>#DIV/0!</v>
      </c>
    </row>
    <row r="574" spans="1:9" hidden="1">
      <c r="A574" s="324">
        <v>3239</v>
      </c>
      <c r="B574" s="325" t="s">
        <v>53</v>
      </c>
      <c r="C574" s="334" t="s">
        <v>232</v>
      </c>
      <c r="D574" s="334" t="s">
        <v>82</v>
      </c>
      <c r="E574" s="335">
        <v>0</v>
      </c>
      <c r="F574" s="335">
        <v>30000</v>
      </c>
      <c r="G574" s="335">
        <v>30000</v>
      </c>
      <c r="H574" s="335">
        <v>30000</v>
      </c>
      <c r="I574" s="791" t="e">
        <f t="shared" si="195"/>
        <v>#DIV/0!</v>
      </c>
    </row>
    <row r="575" spans="1:9" hidden="1">
      <c r="A575" s="324">
        <v>3239</v>
      </c>
      <c r="B575" s="325" t="s">
        <v>53</v>
      </c>
      <c r="C575" s="334" t="s">
        <v>232</v>
      </c>
      <c r="D575" s="334" t="s">
        <v>521</v>
      </c>
      <c r="E575" s="335">
        <v>0</v>
      </c>
      <c r="F575" s="335">
        <v>170000</v>
      </c>
      <c r="G575" s="335">
        <v>170000</v>
      </c>
      <c r="H575" s="335">
        <v>170000</v>
      </c>
      <c r="I575" s="791" t="e">
        <f t="shared" si="195"/>
        <v>#DIV/0!</v>
      </c>
    </row>
    <row r="576" spans="1:9" hidden="1">
      <c r="A576" s="320" t="s">
        <v>57</v>
      </c>
      <c r="B576" s="321" t="s">
        <v>58</v>
      </c>
      <c r="C576" s="322" t="s">
        <v>232</v>
      </c>
      <c r="D576" s="322" t="s">
        <v>82</v>
      </c>
      <c r="E576" s="335">
        <v>0</v>
      </c>
      <c r="F576" s="323">
        <f>F578</f>
        <v>2250</v>
      </c>
      <c r="G576" s="323">
        <f t="shared" ref="G576:H577" si="198">G578</f>
        <v>2250</v>
      </c>
      <c r="H576" s="323">
        <f t="shared" si="198"/>
        <v>2250</v>
      </c>
      <c r="I576" s="791" t="e">
        <f t="shared" si="195"/>
        <v>#DIV/0!</v>
      </c>
    </row>
    <row r="577" spans="1:10" hidden="1">
      <c r="A577" s="320" t="s">
        <v>57</v>
      </c>
      <c r="B577" s="321" t="s">
        <v>58</v>
      </c>
      <c r="C577" s="322" t="s">
        <v>232</v>
      </c>
      <c r="D577" s="322" t="s">
        <v>521</v>
      </c>
      <c r="E577" s="335">
        <v>0</v>
      </c>
      <c r="F577" s="323">
        <f>F579</f>
        <v>12750</v>
      </c>
      <c r="G577" s="323">
        <f t="shared" si="198"/>
        <v>12750</v>
      </c>
      <c r="H577" s="323">
        <f t="shared" si="198"/>
        <v>12750</v>
      </c>
      <c r="I577" s="791" t="e">
        <f t="shared" si="195"/>
        <v>#DIV/0!</v>
      </c>
    </row>
    <row r="578" spans="1:10" hidden="1">
      <c r="A578" s="324" t="s">
        <v>63</v>
      </c>
      <c r="B578" s="325" t="s">
        <v>64</v>
      </c>
      <c r="C578" s="334" t="s">
        <v>232</v>
      </c>
      <c r="D578" s="334" t="s">
        <v>82</v>
      </c>
      <c r="E578" s="335">
        <v>0</v>
      </c>
      <c r="F578" s="335">
        <v>2250</v>
      </c>
      <c r="G578" s="335">
        <v>2250</v>
      </c>
      <c r="H578" s="335">
        <v>2250</v>
      </c>
      <c r="I578" s="791" t="e">
        <f t="shared" si="195"/>
        <v>#DIV/0!</v>
      </c>
    </row>
    <row r="579" spans="1:10" hidden="1">
      <c r="A579" s="324" t="s">
        <v>63</v>
      </c>
      <c r="B579" s="325" t="s">
        <v>64</v>
      </c>
      <c r="C579" s="334" t="s">
        <v>232</v>
      </c>
      <c r="D579" s="334" t="s">
        <v>521</v>
      </c>
      <c r="E579" s="335">
        <v>0</v>
      </c>
      <c r="F579" s="335">
        <v>12750</v>
      </c>
      <c r="G579" s="335">
        <v>12750</v>
      </c>
      <c r="H579" s="335">
        <v>12750</v>
      </c>
      <c r="I579" s="791" t="e">
        <f t="shared" si="195"/>
        <v>#DIV/0!</v>
      </c>
    </row>
    <row r="580" spans="1:10" hidden="1">
      <c r="A580" s="332">
        <v>343</v>
      </c>
      <c r="B580" s="321" t="s">
        <v>55</v>
      </c>
      <c r="C580" s="322" t="s">
        <v>232</v>
      </c>
      <c r="D580" s="322">
        <v>12</v>
      </c>
      <c r="E580" s="335">
        <v>0</v>
      </c>
      <c r="F580" s="323">
        <f>F582</f>
        <v>300</v>
      </c>
      <c r="G580" s="323">
        <f t="shared" ref="G580:H581" si="199">G582</f>
        <v>300</v>
      </c>
      <c r="H580" s="323">
        <f t="shared" si="199"/>
        <v>300</v>
      </c>
      <c r="I580" s="791" t="e">
        <f t="shared" si="195"/>
        <v>#DIV/0!</v>
      </c>
    </row>
    <row r="581" spans="1:10" hidden="1">
      <c r="A581" s="332">
        <v>343</v>
      </c>
      <c r="B581" s="321" t="s">
        <v>55</v>
      </c>
      <c r="C581" s="322" t="s">
        <v>232</v>
      </c>
      <c r="D581" s="322" t="s">
        <v>521</v>
      </c>
      <c r="E581" s="335">
        <v>0</v>
      </c>
      <c r="F581" s="323">
        <f>F583</f>
        <v>1700</v>
      </c>
      <c r="G581" s="323">
        <f t="shared" si="199"/>
        <v>1700</v>
      </c>
      <c r="H581" s="323">
        <f t="shared" si="199"/>
        <v>1700</v>
      </c>
      <c r="I581" s="791" t="e">
        <f t="shared" si="195"/>
        <v>#DIV/0!</v>
      </c>
    </row>
    <row r="582" spans="1:10" hidden="1">
      <c r="A582" s="324">
        <v>3431</v>
      </c>
      <c r="B582" s="325" t="s">
        <v>55</v>
      </c>
      <c r="C582" s="334" t="s">
        <v>232</v>
      </c>
      <c r="D582" s="334" t="s">
        <v>82</v>
      </c>
      <c r="E582" s="335">
        <v>0</v>
      </c>
      <c r="F582" s="335">
        <v>300</v>
      </c>
      <c r="G582" s="335">
        <v>300</v>
      </c>
      <c r="H582" s="335">
        <v>300</v>
      </c>
      <c r="I582" s="791" t="e">
        <f t="shared" si="195"/>
        <v>#DIV/0!</v>
      </c>
    </row>
    <row r="583" spans="1:10" hidden="1">
      <c r="A583" s="324">
        <v>3431</v>
      </c>
      <c r="B583" s="325" t="s">
        <v>55</v>
      </c>
      <c r="C583" s="334" t="s">
        <v>232</v>
      </c>
      <c r="D583" s="334" t="s">
        <v>521</v>
      </c>
      <c r="E583" s="335">
        <v>0</v>
      </c>
      <c r="F583" s="335">
        <v>1700</v>
      </c>
      <c r="G583" s="335">
        <v>1700</v>
      </c>
      <c r="H583" s="335">
        <v>1700</v>
      </c>
      <c r="I583" s="791" t="e">
        <f t="shared" si="195"/>
        <v>#DIV/0!</v>
      </c>
    </row>
    <row r="584" spans="1:10">
      <c r="A584" s="612" t="s">
        <v>449</v>
      </c>
      <c r="B584" s="613" t="s">
        <v>479</v>
      </c>
      <c r="C584" s="614" t="s">
        <v>232</v>
      </c>
      <c r="D584" s="616">
        <v>12</v>
      </c>
      <c r="E584" s="615">
        <f t="shared" ref="E584:E587" si="200">E586</f>
        <v>0</v>
      </c>
      <c r="F584" s="615">
        <f>F586</f>
        <v>4335</v>
      </c>
      <c r="G584" s="615">
        <f t="shared" ref="G584:H587" si="201">G586</f>
        <v>0</v>
      </c>
      <c r="H584" s="615">
        <f t="shared" si="201"/>
        <v>0</v>
      </c>
      <c r="I584" s="791" t="e">
        <f t="shared" si="195"/>
        <v>#DIV/0!</v>
      </c>
    </row>
    <row r="585" spans="1:10">
      <c r="A585" s="612" t="s">
        <v>449</v>
      </c>
      <c r="B585" s="613" t="s">
        <v>479</v>
      </c>
      <c r="C585" s="614" t="s">
        <v>232</v>
      </c>
      <c r="D585" s="616">
        <v>565</v>
      </c>
      <c r="E585" s="615">
        <f t="shared" si="200"/>
        <v>0</v>
      </c>
      <c r="F585" s="615">
        <f>F587</f>
        <v>24565</v>
      </c>
      <c r="G585" s="615">
        <f t="shared" si="201"/>
        <v>0</v>
      </c>
      <c r="H585" s="615">
        <f t="shared" si="201"/>
        <v>0</v>
      </c>
      <c r="I585" s="791" t="e">
        <f t="shared" si="195"/>
        <v>#DIV/0!</v>
      </c>
    </row>
    <row r="586" spans="1:10" hidden="1">
      <c r="A586" s="320" t="s">
        <v>83</v>
      </c>
      <c r="B586" s="321" t="s">
        <v>84</v>
      </c>
      <c r="C586" s="334" t="s">
        <v>232</v>
      </c>
      <c r="D586" s="322">
        <v>12</v>
      </c>
      <c r="E586" s="323">
        <f t="shared" si="200"/>
        <v>0</v>
      </c>
      <c r="F586" s="323">
        <f>F588</f>
        <v>4335</v>
      </c>
      <c r="G586" s="323">
        <f t="shared" si="201"/>
        <v>0</v>
      </c>
      <c r="H586" s="747">
        <f t="shared" si="201"/>
        <v>0</v>
      </c>
      <c r="I586" s="791" t="e">
        <f t="shared" si="195"/>
        <v>#DIV/0!</v>
      </c>
    </row>
    <row r="587" spans="1:10" hidden="1">
      <c r="A587" s="320" t="s">
        <v>83</v>
      </c>
      <c r="B587" s="321" t="s">
        <v>84</v>
      </c>
      <c r="C587" s="334" t="s">
        <v>232</v>
      </c>
      <c r="D587" s="322" t="s">
        <v>521</v>
      </c>
      <c r="E587" s="323">
        <f t="shared" si="200"/>
        <v>0</v>
      </c>
      <c r="F587" s="323">
        <f>F589</f>
        <v>24565</v>
      </c>
      <c r="G587" s="323">
        <f t="shared" si="201"/>
        <v>0</v>
      </c>
      <c r="H587" s="747">
        <f t="shared" si="201"/>
        <v>0</v>
      </c>
      <c r="I587" s="791" t="e">
        <f t="shared" si="195"/>
        <v>#DIV/0!</v>
      </c>
    </row>
    <row r="588" spans="1:10" hidden="1">
      <c r="A588" s="324" t="s">
        <v>85</v>
      </c>
      <c r="B588" s="325" t="s">
        <v>86</v>
      </c>
      <c r="C588" s="334" t="s">
        <v>232</v>
      </c>
      <c r="D588" s="334" t="s">
        <v>82</v>
      </c>
      <c r="E588" s="335">
        <v>0</v>
      </c>
      <c r="F588" s="335">
        <v>4335</v>
      </c>
      <c r="G588" s="335"/>
      <c r="H588" s="335"/>
      <c r="I588" s="791" t="e">
        <f t="shared" si="195"/>
        <v>#DIV/0!</v>
      </c>
    </row>
    <row r="589" spans="1:10" hidden="1">
      <c r="A589" s="324" t="s">
        <v>85</v>
      </c>
      <c r="B589" s="325" t="s">
        <v>86</v>
      </c>
      <c r="C589" s="334" t="s">
        <v>232</v>
      </c>
      <c r="D589" s="334" t="s">
        <v>521</v>
      </c>
      <c r="E589" s="335">
        <v>0</v>
      </c>
      <c r="F589" s="335">
        <v>24565</v>
      </c>
      <c r="G589" s="335"/>
      <c r="H589" s="335"/>
      <c r="I589" s="791" t="e">
        <f t="shared" si="195"/>
        <v>#DIV/0!</v>
      </c>
      <c r="J589" s="738"/>
    </row>
    <row r="590" spans="1:10">
      <c r="A590" s="619" t="s">
        <v>481</v>
      </c>
      <c r="B590" s="620" t="s">
        <v>480</v>
      </c>
      <c r="C590" s="614" t="s">
        <v>232</v>
      </c>
      <c r="D590" s="614" t="s">
        <v>82</v>
      </c>
      <c r="E590" s="615">
        <f>E592+E601+E605</f>
        <v>0</v>
      </c>
      <c r="F590" s="615">
        <f>F592+F596+F600</f>
        <v>128100</v>
      </c>
      <c r="G590" s="615">
        <f t="shared" ref="G590:H591" si="202">G592+G596</f>
        <v>0</v>
      </c>
      <c r="H590" s="615">
        <f t="shared" si="202"/>
        <v>0</v>
      </c>
      <c r="I590" s="791" t="e">
        <f t="shared" si="195"/>
        <v>#DIV/0!</v>
      </c>
    </row>
    <row r="591" spans="1:10">
      <c r="A591" s="619" t="s">
        <v>481</v>
      </c>
      <c r="B591" s="620" t="s">
        <v>480</v>
      </c>
      <c r="C591" s="614" t="s">
        <v>232</v>
      </c>
      <c r="D591" s="614" t="s">
        <v>521</v>
      </c>
      <c r="E591" s="615">
        <f>E593+E602+E606</f>
        <v>0</v>
      </c>
      <c r="F591" s="615">
        <f>F593+F597+F601</f>
        <v>725900</v>
      </c>
      <c r="G591" s="615">
        <f t="shared" si="202"/>
        <v>0</v>
      </c>
      <c r="H591" s="615">
        <f t="shared" si="202"/>
        <v>0</v>
      </c>
      <c r="I591" s="791" t="e">
        <f t="shared" si="195"/>
        <v>#DIV/0!</v>
      </c>
    </row>
    <row r="592" spans="1:10" hidden="1">
      <c r="A592" s="320" t="s">
        <v>88</v>
      </c>
      <c r="B592" s="321" t="s">
        <v>89</v>
      </c>
      <c r="C592" s="334" t="s">
        <v>232</v>
      </c>
      <c r="D592" s="322" t="s">
        <v>82</v>
      </c>
      <c r="E592" s="323">
        <f>E594+E599</f>
        <v>0</v>
      </c>
      <c r="F592" s="323">
        <f>F594</f>
        <v>30600</v>
      </c>
      <c r="G592" s="323">
        <f t="shared" ref="G592:H593" si="203">G594</f>
        <v>0</v>
      </c>
      <c r="H592" s="323">
        <f t="shared" si="203"/>
        <v>0</v>
      </c>
      <c r="I592" s="791" t="e">
        <f t="shared" si="195"/>
        <v>#DIV/0!</v>
      </c>
    </row>
    <row r="593" spans="1:11" hidden="1">
      <c r="A593" s="320" t="s">
        <v>88</v>
      </c>
      <c r="B593" s="321" t="s">
        <v>89</v>
      </c>
      <c r="C593" s="334" t="s">
        <v>232</v>
      </c>
      <c r="D593" s="322" t="s">
        <v>521</v>
      </c>
      <c r="E593" s="323">
        <f>E595+E600</f>
        <v>0</v>
      </c>
      <c r="F593" s="323">
        <f>F595</f>
        <v>173400</v>
      </c>
      <c r="G593" s="323">
        <f t="shared" si="203"/>
        <v>0</v>
      </c>
      <c r="H593" s="323">
        <f t="shared" si="203"/>
        <v>0</v>
      </c>
      <c r="I593" s="791" t="e">
        <f t="shared" si="195"/>
        <v>#DIV/0!</v>
      </c>
    </row>
    <row r="594" spans="1:11" hidden="1">
      <c r="A594" s="324" t="s">
        <v>90</v>
      </c>
      <c r="B594" s="325" t="s">
        <v>91</v>
      </c>
      <c r="C594" s="334" t="s">
        <v>232</v>
      </c>
      <c r="D594" s="334" t="s">
        <v>82</v>
      </c>
      <c r="E594" s="335">
        <v>0</v>
      </c>
      <c r="F594" s="335">
        <v>30600</v>
      </c>
      <c r="G594" s="335">
        <v>0</v>
      </c>
      <c r="H594" s="335">
        <v>0</v>
      </c>
      <c r="I594" s="791" t="e">
        <f t="shared" si="195"/>
        <v>#DIV/0!</v>
      </c>
    </row>
    <row r="595" spans="1:11" hidden="1">
      <c r="A595" s="324" t="s">
        <v>90</v>
      </c>
      <c r="B595" s="325" t="s">
        <v>91</v>
      </c>
      <c r="C595" s="334" t="s">
        <v>232</v>
      </c>
      <c r="D595" s="334" t="s">
        <v>521</v>
      </c>
      <c r="E595" s="335">
        <v>0</v>
      </c>
      <c r="F595" s="801">
        <v>173400</v>
      </c>
      <c r="G595" s="801">
        <v>0</v>
      </c>
      <c r="H595" s="801">
        <v>0</v>
      </c>
      <c r="I595" s="802" t="e">
        <f t="shared" ref="I595:I603" si="204">(F595-E595)/E595</f>
        <v>#DIV/0!</v>
      </c>
    </row>
    <row r="596" spans="1:11" hidden="1">
      <c r="A596" s="332">
        <v>423</v>
      </c>
      <c r="B596" s="321" t="s">
        <v>361</v>
      </c>
      <c r="C596" s="322" t="s">
        <v>232</v>
      </c>
      <c r="D596" s="799" t="s">
        <v>82</v>
      </c>
      <c r="E596" s="323">
        <v>0</v>
      </c>
      <c r="F596" s="803">
        <f>F598</f>
        <v>22500</v>
      </c>
      <c r="G596" s="803">
        <f t="shared" ref="G596:H597" si="205">G598</f>
        <v>0</v>
      </c>
      <c r="H596" s="803">
        <f t="shared" si="205"/>
        <v>0</v>
      </c>
      <c r="I596" s="802" t="e">
        <f t="shared" si="204"/>
        <v>#DIV/0!</v>
      </c>
    </row>
    <row r="597" spans="1:11" hidden="1">
      <c r="A597" s="332">
        <v>423</v>
      </c>
      <c r="B597" s="321" t="s">
        <v>361</v>
      </c>
      <c r="C597" s="322" t="s">
        <v>232</v>
      </c>
      <c r="D597" s="799" t="s">
        <v>521</v>
      </c>
      <c r="E597" s="323">
        <v>0</v>
      </c>
      <c r="F597" s="803">
        <f>F599</f>
        <v>127500</v>
      </c>
      <c r="G597" s="803">
        <f t="shared" si="205"/>
        <v>0</v>
      </c>
      <c r="H597" s="803">
        <f t="shared" si="205"/>
        <v>0</v>
      </c>
      <c r="I597" s="802" t="e">
        <f t="shared" si="204"/>
        <v>#DIV/0!</v>
      </c>
    </row>
    <row r="598" spans="1:11" hidden="1">
      <c r="A598" s="324">
        <v>4231</v>
      </c>
      <c r="B598" s="325" t="s">
        <v>362</v>
      </c>
      <c r="C598" s="334" t="s">
        <v>232</v>
      </c>
      <c r="D598" s="800" t="s">
        <v>82</v>
      </c>
      <c r="E598" s="335">
        <v>0</v>
      </c>
      <c r="F598" s="804">
        <v>22500</v>
      </c>
      <c r="G598" s="804">
        <v>0</v>
      </c>
      <c r="H598" s="804">
        <v>0</v>
      </c>
      <c r="I598" s="802" t="e">
        <f t="shared" si="204"/>
        <v>#DIV/0!</v>
      </c>
    </row>
    <row r="599" spans="1:11" hidden="1">
      <c r="A599" s="324">
        <v>4231</v>
      </c>
      <c r="B599" s="325" t="s">
        <v>362</v>
      </c>
      <c r="C599" s="334" t="s">
        <v>232</v>
      </c>
      <c r="D599" s="800" t="s">
        <v>521</v>
      </c>
      <c r="E599" s="335">
        <v>0</v>
      </c>
      <c r="F599" s="805">
        <v>127500</v>
      </c>
      <c r="G599" s="805">
        <v>0</v>
      </c>
      <c r="H599" s="805">
        <v>0</v>
      </c>
      <c r="I599" s="802" t="e">
        <f t="shared" si="204"/>
        <v>#DIV/0!</v>
      </c>
    </row>
    <row r="600" spans="1:11" hidden="1">
      <c r="A600" s="332">
        <v>426</v>
      </c>
      <c r="B600" s="342" t="s">
        <v>363</v>
      </c>
      <c r="C600" s="322" t="s">
        <v>232</v>
      </c>
      <c r="D600" s="799" t="s">
        <v>82</v>
      </c>
      <c r="E600" s="323">
        <v>0</v>
      </c>
      <c r="F600" s="803">
        <f>F602</f>
        <v>75000</v>
      </c>
      <c r="G600" s="803">
        <f t="shared" ref="G600:H601" si="206">G602</f>
        <v>0</v>
      </c>
      <c r="H600" s="803">
        <f t="shared" si="206"/>
        <v>0</v>
      </c>
      <c r="I600" s="802" t="e">
        <f t="shared" si="204"/>
        <v>#DIV/0!</v>
      </c>
    </row>
    <row r="601" spans="1:11" hidden="1">
      <c r="A601" s="332">
        <v>426</v>
      </c>
      <c r="B601" s="342" t="s">
        <v>363</v>
      </c>
      <c r="C601" s="322" t="s">
        <v>232</v>
      </c>
      <c r="D601" s="799" t="s">
        <v>521</v>
      </c>
      <c r="E601" s="323">
        <v>0</v>
      </c>
      <c r="F601" s="803">
        <f>F603</f>
        <v>425000</v>
      </c>
      <c r="G601" s="803">
        <f t="shared" si="206"/>
        <v>0</v>
      </c>
      <c r="H601" s="803">
        <f t="shared" si="206"/>
        <v>0</v>
      </c>
      <c r="I601" s="802" t="e">
        <f t="shared" si="204"/>
        <v>#DIV/0!</v>
      </c>
      <c r="K601" s="463"/>
    </row>
    <row r="602" spans="1:11" hidden="1">
      <c r="A602" s="324">
        <v>4262</v>
      </c>
      <c r="B602" s="325" t="s">
        <v>182</v>
      </c>
      <c r="C602" s="334" t="s">
        <v>232</v>
      </c>
      <c r="D602" s="800" t="s">
        <v>82</v>
      </c>
      <c r="E602" s="335">
        <v>0</v>
      </c>
      <c r="F602" s="804">
        <v>75000</v>
      </c>
      <c r="G602" s="805">
        <v>0</v>
      </c>
      <c r="H602" s="805">
        <v>0</v>
      </c>
      <c r="I602" s="802" t="e">
        <f t="shared" si="204"/>
        <v>#DIV/0!</v>
      </c>
    </row>
    <row r="603" spans="1:11" hidden="1">
      <c r="A603" s="324">
        <v>4262</v>
      </c>
      <c r="B603" s="325" t="s">
        <v>182</v>
      </c>
      <c r="C603" s="334" t="s">
        <v>232</v>
      </c>
      <c r="D603" s="800" t="s">
        <v>521</v>
      </c>
      <c r="E603" s="335">
        <v>0</v>
      </c>
      <c r="F603" s="814">
        <v>425000</v>
      </c>
      <c r="G603" s="814">
        <v>0</v>
      </c>
      <c r="H603" s="814">
        <v>0</v>
      </c>
      <c r="I603" s="807" t="e">
        <f t="shared" si="204"/>
        <v>#DIV/0!</v>
      </c>
    </row>
    <row r="623" spans="1:1">
      <c r="A623"/>
    </row>
    <row r="624" spans="1:1">
      <c r="A624"/>
    </row>
    <row r="625" spans="1:8">
      <c r="A625"/>
    </row>
    <row r="626" spans="1:8">
      <c r="A626"/>
    </row>
    <row r="627" spans="1:8">
      <c r="A627"/>
    </row>
    <row r="628" spans="1:8">
      <c r="A628"/>
    </row>
    <row r="629" spans="1:8">
      <c r="A629"/>
    </row>
    <row r="630" spans="1:8">
      <c r="A630"/>
    </row>
    <row r="635" spans="1:8">
      <c r="A635" s="196"/>
      <c r="B635" s="196"/>
      <c r="C635" s="196"/>
      <c r="D635" s="196"/>
      <c r="E635" s="196"/>
      <c r="F635" s="196"/>
      <c r="G635" s="196"/>
      <c r="H635" s="196"/>
    </row>
    <row r="636" spans="1:8">
      <c r="A636" s="196"/>
      <c r="B636" s="197"/>
      <c r="C636" s="198"/>
      <c r="D636" s="199"/>
      <c r="E636" s="199"/>
      <c r="F636" s="199"/>
      <c r="G636" s="199"/>
      <c r="H636" s="199"/>
    </row>
    <row r="639" spans="1:8">
      <c r="A639"/>
      <c r="E639" s="22"/>
      <c r="G639" s="22"/>
      <c r="H639" s="22"/>
    </row>
    <row r="640" spans="1:8">
      <c r="A640"/>
      <c r="E640" s="90"/>
      <c r="F640" s="89"/>
      <c r="G640" s="90"/>
      <c r="H640" s="90"/>
    </row>
    <row r="641" spans="1:8">
      <c r="A641"/>
      <c r="E641" s="90"/>
      <c r="G641" s="90"/>
      <c r="H641" s="90"/>
    </row>
    <row r="642" spans="1:8">
      <c r="A642"/>
      <c r="E642" s="91"/>
      <c r="G642" s="91"/>
      <c r="H642" s="91"/>
    </row>
  </sheetData>
  <customSheetViews>
    <customSheetView guid="{DE360DA9-5353-4F03-95DA-9238CFBE39D8}" showPageBreaks="1" fitToPage="1" printArea="1" hiddenRows="1" hiddenColumns="1" state="hidden">
      <pane ySplit="17" topLeftCell="A18" activePane="bottomLeft" state="frozen"/>
      <selection pane="bottomLeft" activeCell="L154" sqref="L154"/>
      <pageMargins left="0.25" right="0.25" top="0.75" bottom="0.75" header="0.3" footer="0.3"/>
      <printOptions horizontalCentered="1"/>
      <pageSetup paperSize="9" fitToHeight="0" orientation="landscape" r:id="rId1"/>
      <headerFooter>
        <oddFooter>&amp;CHAMAG-BICRO&amp;R&amp;P</oddFooter>
      </headerFooter>
    </customSheetView>
    <customSheetView guid="{4FFB33FE-6696-4144-BF99-378C5196B940}" showPageBreaks="1" fitToPage="1" printArea="1" hiddenRows="1" hiddenColumns="1" state="hidden">
      <pane ySplit="16" topLeftCell="A18" activePane="bottomLeft" state="frozen"/>
      <selection pane="bottomLeft" activeCell="L154" sqref="L154"/>
      <pageMargins left="0.25" right="0.25" top="0.75" bottom="0.75" header="0.3" footer="0.3"/>
      <printOptions horizontalCentered="1"/>
      <pageSetup paperSize="9" fitToHeight="0" orientation="landscape" r:id="rId2"/>
      <headerFooter>
        <oddFooter>&amp;CHAMAG-BICRO&amp;R&amp;P</oddFooter>
      </headerFooter>
    </customSheetView>
    <customSheetView guid="{3D59341C-00F4-4635-AC4F-8988CF6BE637}" fitToPage="1" hiddenRows="1" hiddenColumns="1" state="hidden">
      <pane ySplit="17" topLeftCell="A18" activePane="bottomLeft" state="frozen"/>
      <selection pane="bottomLeft" activeCell="L154" sqref="L154"/>
      <pageMargins left="0.25" right="0.25" top="0.75" bottom="0.75" header="0.3" footer="0.3"/>
      <printOptions horizontalCentered="1"/>
      <pageSetup paperSize="9" fitToHeight="0" orientation="landscape" r:id="rId3"/>
      <headerFooter>
        <oddFooter>&amp;CHAMAG-BICRO&amp;R&amp;P</oddFooter>
      </headerFooter>
    </customSheetView>
    <customSheetView guid="{5251AB89-31D9-4C6C-945A-13C9748C2E26}" fitToPage="1" hiddenRows="1" hiddenColumns="1" state="hidden">
      <pane ySplit="17" topLeftCell="A18" activePane="bottomLeft" state="frozen"/>
      <selection pane="bottomLeft" activeCell="L154" sqref="L154"/>
      <pageMargins left="0.25" right="0.25" top="0.75" bottom="0.75" header="0.3" footer="0.3"/>
      <printOptions horizontalCentered="1"/>
      <pageSetup paperSize="9" fitToHeight="0" orientation="landscape" r:id="rId4"/>
      <headerFooter>
        <oddFooter>&amp;CHAMAG-BICRO&amp;R&amp;P</oddFooter>
      </headerFooter>
    </customSheetView>
    <customSheetView guid="{14A1FC8C-94B5-4B4E-9269-30661976D1D1}" fitToPage="1" hiddenRows="1" hiddenColumns="1" state="hidden">
      <pane ySplit="17" topLeftCell="A18" activePane="bottomLeft" state="frozen"/>
      <selection pane="bottomLeft" activeCell="L154" sqref="L154"/>
      <pageMargins left="0.25" right="0.25" top="0.75" bottom="0.75" header="0.3" footer="0.3"/>
      <printOptions horizontalCentered="1"/>
      <pageSetup paperSize="9" fitToHeight="0" orientation="landscape" r:id="rId5"/>
      <headerFooter>
        <oddFooter>&amp;CHAMAG-BICRO&amp;R&amp;P</oddFooter>
      </headerFooter>
    </customSheetView>
    <customSheetView guid="{D0F51479-7B68-4FFC-8604-F0A17468B00E}" fitToPage="1" hiddenRows="1" hiddenColumns="1" state="hidden">
      <pane ySplit="17" topLeftCell="A18" activePane="bottomLeft" state="frozen"/>
      <selection pane="bottomLeft" activeCell="L154" sqref="L154"/>
      <pageMargins left="0.25" right="0.25" top="0.75" bottom="0.75" header="0.3" footer="0.3"/>
      <printOptions horizontalCentered="1"/>
      <pageSetup paperSize="9" fitToHeight="0" orientation="landscape" r:id="rId6"/>
      <headerFooter>
        <oddFooter>&amp;CHAMAG-BICRO&amp;R&amp;P</oddFooter>
      </headerFooter>
    </customSheetView>
    <customSheetView guid="{0D7CE69A-AF67-471F-AE1C-92FEF35D1955}" showPageBreaks="1" fitToPage="1" printArea="1" hiddenRows="1" hiddenColumns="1" state="hidden">
      <pane ySplit="17" topLeftCell="A18" activePane="bottomLeft" state="frozen"/>
      <selection pane="bottomLeft" activeCell="L154" sqref="L154"/>
      <pageMargins left="0.25" right="0.25" top="0.75" bottom="0.75" header="0.3" footer="0.3"/>
      <printOptions horizontalCentered="1"/>
      <pageSetup paperSize="9" fitToHeight="0" orientation="landscape" r:id="rId7"/>
      <headerFooter>
        <oddFooter>&amp;CHAMAG-BICRO&amp;R&amp;P</oddFooter>
      </headerFooter>
    </customSheetView>
    <customSheetView guid="{3EC3B099-A84F-48D2-A97E-B7686AB72BE7}" showPageBreaks="1" fitToPage="1" printArea="1" hiddenRows="1" hiddenColumns="1" state="hidden">
      <pane ySplit="17" topLeftCell="A18" activePane="bottomLeft" state="frozen"/>
      <selection pane="bottomLeft" activeCell="L154" sqref="L154"/>
      <pageMargins left="0.25" right="0.25" top="0.75" bottom="0.75" header="0.3" footer="0.3"/>
      <printOptions horizontalCentered="1"/>
      <pageSetup paperSize="9" fitToHeight="0" orientation="landscape" r:id="rId8"/>
      <headerFooter>
        <oddFooter>&amp;CHAMAG-BICRO&amp;R&amp;P</oddFooter>
      </headerFooter>
    </customSheetView>
  </customSheetViews>
  <mergeCells count="2">
    <mergeCell ref="B2:C2"/>
    <mergeCell ref="A17:C17"/>
  </mergeCells>
  <printOptions horizontalCentered="1"/>
  <pageMargins left="0.25" right="0.25" top="0.75" bottom="0.75" header="0.3" footer="0.3"/>
  <pageSetup paperSize="9" fitToHeight="0" orientation="landscape" r:id="rId9"/>
  <headerFooter>
    <oddFooter>&amp;CHAMAG-BICRO&amp;R&amp;P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71"/>
  <sheetViews>
    <sheetView zoomScale="110" zoomScaleNormal="110" workbookViewId="0">
      <selection activeCell="F20" sqref="F20"/>
    </sheetView>
  </sheetViews>
  <sheetFormatPr defaultRowHeight="15"/>
  <cols>
    <col min="1" max="1" width="9.7109375" style="61" customWidth="1"/>
    <col min="2" max="2" width="50.7109375" customWidth="1"/>
    <col min="3" max="3" width="5.7109375" customWidth="1"/>
    <col min="4" max="4" width="15.7109375" hidden="1" customWidth="1"/>
    <col min="5" max="5" width="5.7109375" style="393" customWidth="1"/>
    <col min="6" max="8" width="16.7109375" customWidth="1"/>
    <col min="9" max="9" width="26.5703125" customWidth="1"/>
  </cols>
  <sheetData>
    <row r="1" spans="1:8" ht="30" customHeight="1">
      <c r="A1" s="277"/>
      <c r="B1" s="192"/>
      <c r="C1" s="268" t="s">
        <v>220</v>
      </c>
      <c r="D1" s="269" t="s">
        <v>393</v>
      </c>
      <c r="E1" s="384" t="s">
        <v>180</v>
      </c>
      <c r="F1" s="305" t="s">
        <v>398</v>
      </c>
      <c r="G1" s="305" t="s">
        <v>399</v>
      </c>
      <c r="H1" s="305" t="s">
        <v>400</v>
      </c>
    </row>
    <row r="2" spans="1:8" ht="25.5" customHeight="1">
      <c r="A2" s="270" t="s">
        <v>371</v>
      </c>
      <c r="B2" s="1111" t="s">
        <v>309</v>
      </c>
      <c r="C2" s="1112"/>
      <c r="D2" s="271">
        <f>D3+D4+D6+D7+D8</f>
        <v>698309.05</v>
      </c>
      <c r="E2" s="389"/>
      <c r="F2" s="271">
        <f>F3+F4+F6+F7+F8</f>
        <v>2056542</v>
      </c>
      <c r="G2" s="271">
        <f>G3+G4+G6+G7+G8</f>
        <v>2006542</v>
      </c>
      <c r="H2" s="271">
        <f>H3+H4+H6+H7+H8</f>
        <v>2006542</v>
      </c>
    </row>
    <row r="3" spans="1:8">
      <c r="A3" s="1058"/>
      <c r="B3" s="1058"/>
      <c r="C3" s="1059"/>
      <c r="D3" s="272">
        <f>D12+D14+D16+D17+D19+D21+D23+D26+D28+D29+D30+D32+D34+D35+D37+D38+D40+D41+D42+D44+D47+D49+D51+D53+D55+D57+D59+D61+D63+D64</f>
        <v>637515.41</v>
      </c>
      <c r="E3" s="385">
        <v>11</v>
      </c>
      <c r="F3" s="272">
        <f t="shared" ref="F3:H3" si="0">F12+F14+F16+F17+F19+F21+F23+F26+F28+F29+F30+F32+F34+F35+F37+F38+F40+F41+F42+F44+F47+F49+F51+F53+F55+F57+F59+F61+F63+F64</f>
        <v>2006542</v>
      </c>
      <c r="G3" s="272">
        <f t="shared" si="0"/>
        <v>2006542</v>
      </c>
      <c r="H3" s="272">
        <f t="shared" si="0"/>
        <v>2006542</v>
      </c>
    </row>
    <row r="4" spans="1:8">
      <c r="A4" s="1060"/>
      <c r="B4" s="1060"/>
      <c r="C4" s="1061"/>
      <c r="D4" s="272">
        <v>0</v>
      </c>
      <c r="E4" s="385">
        <v>12</v>
      </c>
      <c r="F4" s="272">
        <v>0</v>
      </c>
      <c r="G4" s="272">
        <v>0</v>
      </c>
      <c r="H4" s="272">
        <v>0</v>
      </c>
    </row>
    <row r="5" spans="1:8">
      <c r="A5" s="1060"/>
      <c r="B5" s="1060"/>
      <c r="C5" s="1061"/>
      <c r="D5" s="273">
        <f>D3+D4</f>
        <v>637515.41</v>
      </c>
      <c r="E5" s="386" t="s">
        <v>267</v>
      </c>
      <c r="F5" s="273">
        <f>F3+F4</f>
        <v>2006542</v>
      </c>
      <c r="G5" s="273">
        <f>G3+G4</f>
        <v>2006542</v>
      </c>
      <c r="H5" s="273"/>
    </row>
    <row r="6" spans="1:8">
      <c r="A6" s="1060"/>
      <c r="B6" s="1060"/>
      <c r="C6" s="1061"/>
      <c r="D6" s="272">
        <f>D20+D22+D24+D27+D33+D36+D39+D43+D45++D50+D52+D56+D58</f>
        <v>60793.640000000007</v>
      </c>
      <c r="E6" s="385">
        <v>31</v>
      </c>
      <c r="F6" s="272">
        <f t="shared" ref="F6:H6" si="1">F20+F22+F24+F27+F33+F36+F39+F43+F45++F50+F52+F56+F58</f>
        <v>50000</v>
      </c>
      <c r="G6" s="272">
        <f t="shared" si="1"/>
        <v>0</v>
      </c>
      <c r="H6" s="272">
        <f t="shared" si="1"/>
        <v>0</v>
      </c>
    </row>
    <row r="7" spans="1:8">
      <c r="A7" s="1060"/>
      <c r="B7" s="1060"/>
      <c r="C7" s="1061"/>
      <c r="D7" s="272">
        <v>0</v>
      </c>
      <c r="E7" s="385" t="str">
        <f>E47</f>
        <v>11</v>
      </c>
      <c r="F7" s="272">
        <v>0</v>
      </c>
      <c r="G7" s="272">
        <v>0</v>
      </c>
      <c r="H7" s="272">
        <v>0</v>
      </c>
    </row>
    <row r="8" spans="1:8">
      <c r="A8" s="1060"/>
      <c r="B8" s="1060"/>
      <c r="C8" s="1061"/>
      <c r="D8" s="272">
        <v>0</v>
      </c>
      <c r="E8" s="385">
        <v>561</v>
      </c>
      <c r="F8" s="272">
        <v>0</v>
      </c>
      <c r="G8" s="272">
        <v>0</v>
      </c>
      <c r="H8" s="272">
        <v>0</v>
      </c>
    </row>
    <row r="9" spans="1:8" ht="30" customHeight="1">
      <c r="A9" s="1113" t="s">
        <v>377</v>
      </c>
      <c r="B9" s="1114"/>
      <c r="C9" s="1114"/>
      <c r="D9" s="1114"/>
      <c r="E9" s="1114"/>
      <c r="F9" s="1114"/>
      <c r="G9" s="1114"/>
      <c r="H9" s="1115"/>
    </row>
    <row r="10" spans="1:8">
      <c r="A10" s="278" t="s">
        <v>412</v>
      </c>
      <c r="B10" s="279" t="s">
        <v>413</v>
      </c>
      <c r="C10" s="280" t="s">
        <v>233</v>
      </c>
      <c r="D10" s="378">
        <f>D11+D13+D15+D18+D25+D31+D46+D48+D54+D60+D62</f>
        <v>698309.04999999993</v>
      </c>
      <c r="E10" s="390"/>
      <c r="F10" s="378">
        <f>F11+F13+F15+F18+F25+F31+F46+F48+F54+F60+F62</f>
        <v>2056542</v>
      </c>
      <c r="G10" s="378">
        <f t="shared" ref="G10:H10" si="2">G11+G13+G15+G18+G25+G31+G46+G48+G54+G60+G62</f>
        <v>2006542</v>
      </c>
      <c r="H10" s="378">
        <f t="shared" si="2"/>
        <v>2006542</v>
      </c>
    </row>
    <row r="11" spans="1:8">
      <c r="A11" s="274" t="s">
        <v>1</v>
      </c>
      <c r="B11" s="275" t="s">
        <v>2</v>
      </c>
      <c r="C11" s="276" t="s">
        <v>233</v>
      </c>
      <c r="D11" s="379">
        <f t="shared" ref="D11:H11" si="3">D12</f>
        <v>221107.18</v>
      </c>
      <c r="E11" s="391"/>
      <c r="F11" s="379">
        <f>F12</f>
        <v>1025561</v>
      </c>
      <c r="G11" s="379">
        <f t="shared" si="3"/>
        <v>1035561</v>
      </c>
      <c r="H11" s="379">
        <f t="shared" si="3"/>
        <v>1040561</v>
      </c>
    </row>
    <row r="12" spans="1:8">
      <c r="A12" s="281" t="s">
        <v>3</v>
      </c>
      <c r="B12" s="282" t="s">
        <v>4</v>
      </c>
      <c r="C12" s="276" t="s">
        <v>233</v>
      </c>
      <c r="D12" s="380">
        <v>221107.18</v>
      </c>
      <c r="E12" s="387" t="s">
        <v>0</v>
      </c>
      <c r="F12" s="380">
        <v>1025561</v>
      </c>
      <c r="G12" s="380">
        <v>1035561</v>
      </c>
      <c r="H12" s="380">
        <v>1040561</v>
      </c>
    </row>
    <row r="13" spans="1:8" ht="15" customHeight="1">
      <c r="A13" s="274" t="s">
        <v>7</v>
      </c>
      <c r="B13" s="275" t="s">
        <v>8</v>
      </c>
      <c r="C13" s="276" t="s">
        <v>233</v>
      </c>
      <c r="D13" s="379">
        <f t="shared" ref="D13:H13" si="4">D14</f>
        <v>12087</v>
      </c>
      <c r="E13" s="391"/>
      <c r="F13" s="379">
        <f>F14</f>
        <v>24000</v>
      </c>
      <c r="G13" s="379">
        <f t="shared" si="4"/>
        <v>24000</v>
      </c>
      <c r="H13" s="379">
        <f t="shared" si="4"/>
        <v>24000</v>
      </c>
    </row>
    <row r="14" spans="1:8">
      <c r="A14" s="281" t="s">
        <v>9</v>
      </c>
      <c r="B14" s="282" t="s">
        <v>8</v>
      </c>
      <c r="C14" s="276" t="s">
        <v>233</v>
      </c>
      <c r="D14" s="380">
        <v>12087</v>
      </c>
      <c r="E14" s="387" t="s">
        <v>0</v>
      </c>
      <c r="F14" s="380">
        <v>24000</v>
      </c>
      <c r="G14" s="380">
        <v>24000</v>
      </c>
      <c r="H14" s="380">
        <v>24000</v>
      </c>
    </row>
    <row r="15" spans="1:8">
      <c r="A15" s="274" t="s">
        <v>10</v>
      </c>
      <c r="B15" s="275" t="s">
        <v>11</v>
      </c>
      <c r="C15" s="276" t="s">
        <v>233</v>
      </c>
      <c r="D15" s="379">
        <f>D16+D17</f>
        <v>44214.320000000007</v>
      </c>
      <c r="E15" s="391"/>
      <c r="F15" s="379">
        <f>F16+F17</f>
        <v>180981</v>
      </c>
      <c r="G15" s="379">
        <f t="shared" ref="G15:H15" si="5">G16+G17</f>
        <v>183981</v>
      </c>
      <c r="H15" s="379">
        <f t="shared" si="5"/>
        <v>186981</v>
      </c>
    </row>
    <row r="16" spans="1:8">
      <c r="A16" s="281" t="s">
        <v>12</v>
      </c>
      <c r="B16" s="282" t="s">
        <v>13</v>
      </c>
      <c r="C16" s="276" t="s">
        <v>233</v>
      </c>
      <c r="D16" s="380">
        <v>39506.300000000003</v>
      </c>
      <c r="E16" s="387" t="s">
        <v>0</v>
      </c>
      <c r="F16" s="380">
        <v>156850</v>
      </c>
      <c r="G16" s="380">
        <v>158850</v>
      </c>
      <c r="H16" s="380">
        <v>160850</v>
      </c>
    </row>
    <row r="17" spans="1:8">
      <c r="A17" s="281" t="s">
        <v>14</v>
      </c>
      <c r="B17" s="282" t="s">
        <v>15</v>
      </c>
      <c r="C17" s="276" t="s">
        <v>233</v>
      </c>
      <c r="D17" s="380">
        <v>4708.0200000000004</v>
      </c>
      <c r="E17" s="387" t="s">
        <v>0</v>
      </c>
      <c r="F17" s="380">
        <v>24131</v>
      </c>
      <c r="G17" s="380">
        <v>25131</v>
      </c>
      <c r="H17" s="380">
        <v>26131</v>
      </c>
    </row>
    <row r="18" spans="1:8">
      <c r="A18" s="274" t="s">
        <v>16</v>
      </c>
      <c r="B18" s="275" t="s">
        <v>17</v>
      </c>
      <c r="C18" s="276" t="s">
        <v>233</v>
      </c>
      <c r="D18" s="379">
        <f>D19+D20+D21+D22+D23+D24</f>
        <v>78727.03</v>
      </c>
      <c r="E18" s="387"/>
      <c r="F18" s="379">
        <f>F19+F20+F21+F22+F23+F24</f>
        <v>140000</v>
      </c>
      <c r="G18" s="379">
        <f t="shared" ref="G18:H18" si="6">G19+G20+G21+G22+G23+G24</f>
        <v>130000</v>
      </c>
      <c r="H18" s="379">
        <f t="shared" si="6"/>
        <v>130000</v>
      </c>
    </row>
    <row r="19" spans="1:8">
      <c r="A19" s="281" t="s">
        <v>18</v>
      </c>
      <c r="B19" s="283" t="s">
        <v>19</v>
      </c>
      <c r="C19" s="276" t="s">
        <v>233</v>
      </c>
      <c r="D19" s="381">
        <v>33797.25</v>
      </c>
      <c r="E19" s="387">
        <v>11</v>
      </c>
      <c r="F19" s="381">
        <v>100000</v>
      </c>
      <c r="G19" s="381">
        <v>100000</v>
      </c>
      <c r="H19" s="381">
        <v>100000</v>
      </c>
    </row>
    <row r="20" spans="1:8">
      <c r="A20" s="284" t="s">
        <v>18</v>
      </c>
      <c r="B20" s="285" t="s">
        <v>19</v>
      </c>
      <c r="C20" s="276" t="s">
        <v>233</v>
      </c>
      <c r="D20" s="382">
        <v>14000</v>
      </c>
      <c r="E20" s="388">
        <v>31</v>
      </c>
      <c r="F20" s="382">
        <v>10000</v>
      </c>
      <c r="G20" s="382">
        <v>0</v>
      </c>
      <c r="H20" s="382">
        <v>0</v>
      </c>
    </row>
    <row r="21" spans="1:8" s="92" customFormat="1">
      <c r="A21" s="281" t="s">
        <v>20</v>
      </c>
      <c r="B21" s="282" t="s">
        <v>21</v>
      </c>
      <c r="C21" s="276" t="s">
        <v>233</v>
      </c>
      <c r="D21" s="380">
        <v>6210</v>
      </c>
      <c r="E21" s="387" t="s">
        <v>0</v>
      </c>
      <c r="F21" s="407">
        <v>22000</v>
      </c>
      <c r="G21" s="380">
        <v>22000</v>
      </c>
      <c r="H21" s="380">
        <v>22000</v>
      </c>
    </row>
    <row r="22" spans="1:8">
      <c r="A22" s="284">
        <v>3212</v>
      </c>
      <c r="B22" s="285" t="s">
        <v>21</v>
      </c>
      <c r="C22" s="276" t="s">
        <v>233</v>
      </c>
      <c r="D22" s="382">
        <v>4350</v>
      </c>
      <c r="E22" s="388" t="s">
        <v>272</v>
      </c>
      <c r="F22" s="382">
        <v>0</v>
      </c>
      <c r="G22" s="382">
        <v>0</v>
      </c>
      <c r="H22" s="382">
        <v>0</v>
      </c>
    </row>
    <row r="23" spans="1:8">
      <c r="A23" s="281" t="s">
        <v>22</v>
      </c>
      <c r="B23" s="282" t="s">
        <v>23</v>
      </c>
      <c r="C23" s="276" t="s">
        <v>233</v>
      </c>
      <c r="D23" s="380">
        <v>17369.78</v>
      </c>
      <c r="E23" s="387" t="s">
        <v>0</v>
      </c>
      <c r="F23" s="380">
        <v>8000</v>
      </c>
      <c r="G23" s="380">
        <v>8000</v>
      </c>
      <c r="H23" s="380">
        <v>8000</v>
      </c>
    </row>
    <row r="24" spans="1:8">
      <c r="A24" s="284" t="s">
        <v>22</v>
      </c>
      <c r="B24" s="285" t="s">
        <v>23</v>
      </c>
      <c r="C24" s="276" t="s">
        <v>233</v>
      </c>
      <c r="D24" s="382">
        <v>3000</v>
      </c>
      <c r="E24" s="388" t="s">
        <v>272</v>
      </c>
      <c r="F24" s="382">
        <v>0</v>
      </c>
      <c r="G24" s="382">
        <v>0</v>
      </c>
      <c r="H24" s="382">
        <v>0</v>
      </c>
    </row>
    <row r="25" spans="1:8">
      <c r="A25" s="274" t="s">
        <v>24</v>
      </c>
      <c r="B25" s="275" t="s">
        <v>25</v>
      </c>
      <c r="C25" s="276" t="s">
        <v>233</v>
      </c>
      <c r="D25" s="379">
        <f t="shared" ref="D25" si="7">D26+D27+D28+D29+D30</f>
        <v>22912.720000000001</v>
      </c>
      <c r="E25" s="391"/>
      <c r="F25" s="379">
        <f>F26+F27+F28+F29+F30</f>
        <v>36000</v>
      </c>
      <c r="G25" s="379">
        <f t="shared" ref="G25:H25" si="8">G26+G27+G28+G29+G30</f>
        <v>35000</v>
      </c>
      <c r="H25" s="379">
        <f t="shared" si="8"/>
        <v>35000</v>
      </c>
    </row>
    <row r="26" spans="1:8">
      <c r="A26" s="281" t="s">
        <v>26</v>
      </c>
      <c r="B26" s="282" t="s">
        <v>27</v>
      </c>
      <c r="C26" s="276" t="s">
        <v>233</v>
      </c>
      <c r="D26" s="380">
        <v>9765.5300000000007</v>
      </c>
      <c r="E26" s="387" t="s">
        <v>0</v>
      </c>
      <c r="F26" s="380">
        <v>10000</v>
      </c>
      <c r="G26" s="380">
        <v>10000</v>
      </c>
      <c r="H26" s="380">
        <v>10000</v>
      </c>
    </row>
    <row r="27" spans="1:8">
      <c r="A27" s="284">
        <v>3221</v>
      </c>
      <c r="B27" s="285" t="s">
        <v>27</v>
      </c>
      <c r="C27" s="276" t="s">
        <v>233</v>
      </c>
      <c r="D27" s="382">
        <v>1000</v>
      </c>
      <c r="E27" s="388" t="s">
        <v>272</v>
      </c>
      <c r="F27" s="382">
        <v>0</v>
      </c>
      <c r="G27" s="382">
        <v>0</v>
      </c>
      <c r="H27" s="382">
        <v>0</v>
      </c>
    </row>
    <row r="28" spans="1:8">
      <c r="A28" s="281" t="s">
        <v>28</v>
      </c>
      <c r="B28" s="31" t="s">
        <v>29</v>
      </c>
      <c r="C28" s="276" t="s">
        <v>233</v>
      </c>
      <c r="D28" s="380">
        <v>5745.99</v>
      </c>
      <c r="E28" s="387" t="s">
        <v>0</v>
      </c>
      <c r="F28" s="380">
        <v>15000</v>
      </c>
      <c r="G28" s="380">
        <v>15000</v>
      </c>
      <c r="H28" s="380">
        <v>15000</v>
      </c>
    </row>
    <row r="29" spans="1:8">
      <c r="A29" s="281" t="s">
        <v>30</v>
      </c>
      <c r="B29" s="282" t="s">
        <v>31</v>
      </c>
      <c r="C29" s="276" t="s">
        <v>233</v>
      </c>
      <c r="D29" s="380">
        <v>3664.36</v>
      </c>
      <c r="E29" s="387" t="s">
        <v>0</v>
      </c>
      <c r="F29" s="380">
        <v>6000</v>
      </c>
      <c r="G29" s="380">
        <v>5000</v>
      </c>
      <c r="H29" s="380">
        <v>5000</v>
      </c>
    </row>
    <row r="30" spans="1:8">
      <c r="A30" s="281" t="s">
        <v>32</v>
      </c>
      <c r="B30" s="282" t="s">
        <v>33</v>
      </c>
      <c r="C30" s="276" t="s">
        <v>233</v>
      </c>
      <c r="D30" s="380">
        <v>2736.84</v>
      </c>
      <c r="E30" s="387" t="s">
        <v>0</v>
      </c>
      <c r="F30" s="380">
        <v>5000</v>
      </c>
      <c r="G30" s="380">
        <v>5000</v>
      </c>
      <c r="H30" s="380">
        <v>5000</v>
      </c>
    </row>
    <row r="31" spans="1:8">
      <c r="A31" s="274" t="s">
        <v>34</v>
      </c>
      <c r="B31" s="275" t="s">
        <v>35</v>
      </c>
      <c r="C31" s="276" t="s">
        <v>233</v>
      </c>
      <c r="D31" s="379">
        <f>D32+D33+D34+D35+D36+D37+D38+D39+D40+D41+D42+D43+D44+D45</f>
        <v>213310.84999999998</v>
      </c>
      <c r="E31" s="391"/>
      <c r="F31" s="379">
        <f>F32+F33+F34+F35+F36+F37+F38+F39+F40+F41+F42+F43+F44+F45</f>
        <v>492000</v>
      </c>
      <c r="G31" s="379">
        <f t="shared" ref="G31:H31" si="9">G32+G33+G34+G35+G36+G37+G38+G39+G40+G41+G42+G43+G44+G45</f>
        <v>463000</v>
      </c>
      <c r="H31" s="379">
        <f t="shared" si="9"/>
        <v>462000</v>
      </c>
    </row>
    <row r="32" spans="1:8">
      <c r="A32" s="281" t="s">
        <v>36</v>
      </c>
      <c r="B32" s="282" t="s">
        <v>37</v>
      </c>
      <c r="C32" s="276" t="s">
        <v>233</v>
      </c>
      <c r="D32" s="380">
        <v>13118.39</v>
      </c>
      <c r="E32" s="387" t="s">
        <v>0</v>
      </c>
      <c r="F32" s="380">
        <v>50000</v>
      </c>
      <c r="G32" s="380">
        <v>50000</v>
      </c>
      <c r="H32" s="380">
        <v>50000</v>
      </c>
    </row>
    <row r="33" spans="1:8">
      <c r="A33" s="284">
        <v>3231</v>
      </c>
      <c r="B33" s="285" t="s">
        <v>37</v>
      </c>
      <c r="C33" s="276" t="s">
        <v>233</v>
      </c>
      <c r="D33" s="382">
        <v>10000</v>
      </c>
      <c r="E33" s="388" t="s">
        <v>272</v>
      </c>
      <c r="F33" s="382">
        <v>0</v>
      </c>
      <c r="G33" s="382">
        <v>0</v>
      </c>
      <c r="H33" s="382">
        <v>0</v>
      </c>
    </row>
    <row r="34" spans="1:8">
      <c r="A34" s="281" t="s">
        <v>38</v>
      </c>
      <c r="B34" s="282" t="s">
        <v>39</v>
      </c>
      <c r="C34" s="276" t="s">
        <v>233</v>
      </c>
      <c r="D34" s="380">
        <v>1421.88</v>
      </c>
      <c r="E34" s="387" t="s">
        <v>0</v>
      </c>
      <c r="F34" s="380">
        <v>5000</v>
      </c>
      <c r="G34" s="380">
        <v>5000</v>
      </c>
      <c r="H34" s="380">
        <v>5000</v>
      </c>
    </row>
    <row r="35" spans="1:8">
      <c r="A35" s="281" t="s">
        <v>40</v>
      </c>
      <c r="B35" s="282" t="s">
        <v>41</v>
      </c>
      <c r="C35" s="276" t="s">
        <v>233</v>
      </c>
      <c r="D35" s="380">
        <v>19420</v>
      </c>
      <c r="E35" s="387" t="s">
        <v>0</v>
      </c>
      <c r="F35" s="380">
        <v>100000</v>
      </c>
      <c r="G35" s="380">
        <v>100000</v>
      </c>
      <c r="H35" s="380">
        <v>100000</v>
      </c>
    </row>
    <row r="36" spans="1:8">
      <c r="A36" s="284" t="s">
        <v>40</v>
      </c>
      <c r="B36" s="285" t="s">
        <v>41</v>
      </c>
      <c r="C36" s="276" t="s">
        <v>233</v>
      </c>
      <c r="D36" s="382">
        <v>258.52</v>
      </c>
      <c r="E36" s="388" t="s">
        <v>272</v>
      </c>
      <c r="F36" s="382">
        <v>10000</v>
      </c>
      <c r="G36" s="382">
        <v>0</v>
      </c>
      <c r="H36" s="382">
        <v>0</v>
      </c>
    </row>
    <row r="37" spans="1:8">
      <c r="A37" s="281" t="s">
        <v>42</v>
      </c>
      <c r="B37" s="282" t="s">
        <v>43</v>
      </c>
      <c r="C37" s="276" t="s">
        <v>233</v>
      </c>
      <c r="D37" s="380">
        <v>1305.52</v>
      </c>
      <c r="E37" s="387" t="s">
        <v>0</v>
      </c>
      <c r="F37" s="380">
        <v>6000</v>
      </c>
      <c r="G37" s="380">
        <v>6000</v>
      </c>
      <c r="H37" s="380">
        <v>6000</v>
      </c>
    </row>
    <row r="38" spans="1:8">
      <c r="A38" s="281" t="s">
        <v>44</v>
      </c>
      <c r="B38" s="282" t="s">
        <v>45</v>
      </c>
      <c r="C38" s="276" t="s">
        <v>233</v>
      </c>
      <c r="D38" s="380">
        <v>24256.25</v>
      </c>
      <c r="E38" s="387" t="s">
        <v>0</v>
      </c>
      <c r="F38" s="380">
        <v>110000</v>
      </c>
      <c r="G38" s="380">
        <v>110000</v>
      </c>
      <c r="H38" s="380">
        <v>110000</v>
      </c>
    </row>
    <row r="39" spans="1:8">
      <c r="A39" s="284">
        <v>3235</v>
      </c>
      <c r="B39" s="285" t="s">
        <v>45</v>
      </c>
      <c r="C39" s="276" t="s">
        <v>233</v>
      </c>
      <c r="D39" s="382">
        <v>16350</v>
      </c>
      <c r="E39" s="388" t="s">
        <v>272</v>
      </c>
      <c r="F39" s="382">
        <v>10000</v>
      </c>
      <c r="G39" s="382">
        <v>0</v>
      </c>
      <c r="H39" s="382">
        <v>0</v>
      </c>
    </row>
    <row r="40" spans="1:8">
      <c r="A40" s="281" t="s">
        <v>46</v>
      </c>
      <c r="B40" s="282" t="s">
        <v>47</v>
      </c>
      <c r="C40" s="276" t="s">
        <v>233</v>
      </c>
      <c r="D40" s="380">
        <v>3000</v>
      </c>
      <c r="E40" s="387" t="s">
        <v>0</v>
      </c>
      <c r="F40" s="380">
        <v>1000</v>
      </c>
      <c r="G40" s="380">
        <v>2000</v>
      </c>
      <c r="H40" s="380">
        <v>4000</v>
      </c>
    </row>
    <row r="41" spans="1:8">
      <c r="A41" s="281" t="s">
        <v>48</v>
      </c>
      <c r="B41" s="282" t="s">
        <v>49</v>
      </c>
      <c r="C41" s="276" t="s">
        <v>233</v>
      </c>
      <c r="D41" s="380">
        <v>78280.039999999994</v>
      </c>
      <c r="E41" s="387" t="s">
        <v>0</v>
      </c>
      <c r="F41" s="380">
        <v>100000</v>
      </c>
      <c r="G41" s="380">
        <v>100000</v>
      </c>
      <c r="H41" s="380">
        <v>100000</v>
      </c>
    </row>
    <row r="42" spans="1:8">
      <c r="A42" s="281" t="s">
        <v>50</v>
      </c>
      <c r="B42" s="282" t="s">
        <v>51</v>
      </c>
      <c r="C42" s="276" t="s">
        <v>233</v>
      </c>
      <c r="D42" s="380">
        <v>7307.75</v>
      </c>
      <c r="E42" s="387" t="s">
        <v>0</v>
      </c>
      <c r="F42" s="380">
        <v>30000</v>
      </c>
      <c r="G42" s="380">
        <v>30000</v>
      </c>
      <c r="H42" s="380">
        <v>30000</v>
      </c>
    </row>
    <row r="43" spans="1:8">
      <c r="A43" s="284">
        <v>3238</v>
      </c>
      <c r="B43" s="285" t="s">
        <v>51</v>
      </c>
      <c r="C43" s="276" t="s">
        <v>233</v>
      </c>
      <c r="D43" s="382">
        <v>2500</v>
      </c>
      <c r="E43" s="388" t="s">
        <v>272</v>
      </c>
      <c r="F43" s="382">
        <v>0</v>
      </c>
      <c r="G43" s="382">
        <v>0</v>
      </c>
      <c r="H43" s="382">
        <v>0</v>
      </c>
    </row>
    <row r="44" spans="1:8">
      <c r="A44" s="281" t="s">
        <v>52</v>
      </c>
      <c r="B44" s="282" t="s">
        <v>53</v>
      </c>
      <c r="C44" s="276" t="s">
        <v>233</v>
      </c>
      <c r="D44" s="380">
        <v>31092.5</v>
      </c>
      <c r="E44" s="387" t="s">
        <v>0</v>
      </c>
      <c r="F44" s="380">
        <v>60000</v>
      </c>
      <c r="G44" s="380">
        <v>60000</v>
      </c>
      <c r="H44" s="380">
        <v>57000</v>
      </c>
    </row>
    <row r="45" spans="1:8">
      <c r="A45" s="284">
        <v>3239</v>
      </c>
      <c r="B45" s="286" t="s">
        <v>53</v>
      </c>
      <c r="C45" s="276" t="s">
        <v>233</v>
      </c>
      <c r="D45" s="382">
        <v>5000</v>
      </c>
      <c r="E45" s="388" t="s">
        <v>272</v>
      </c>
      <c r="F45" s="382">
        <v>10000</v>
      </c>
      <c r="G45" s="382">
        <v>0</v>
      </c>
      <c r="H45" s="382">
        <v>0</v>
      </c>
    </row>
    <row r="46" spans="1:8">
      <c r="A46" s="274" t="s">
        <v>54</v>
      </c>
      <c r="B46" s="275" t="s">
        <v>55</v>
      </c>
      <c r="C46" s="276" t="s">
        <v>233</v>
      </c>
      <c r="D46" s="379">
        <f>D47</f>
        <v>26927.200000000001</v>
      </c>
      <c r="E46" s="391"/>
      <c r="F46" s="379">
        <f>F47</f>
        <v>35000</v>
      </c>
      <c r="G46" s="379">
        <f t="shared" ref="G46:H46" si="10">G47</f>
        <v>35000</v>
      </c>
      <c r="H46" s="379">
        <f t="shared" si="10"/>
        <v>32000</v>
      </c>
    </row>
    <row r="47" spans="1:8">
      <c r="A47" s="281">
        <v>3241</v>
      </c>
      <c r="B47" s="282" t="s">
        <v>55</v>
      </c>
      <c r="C47" s="403" t="s">
        <v>233</v>
      </c>
      <c r="D47" s="380">
        <v>26927.200000000001</v>
      </c>
      <c r="E47" s="387" t="s">
        <v>0</v>
      </c>
      <c r="F47" s="380">
        <v>35000</v>
      </c>
      <c r="G47" s="380">
        <v>35000</v>
      </c>
      <c r="H47" s="380">
        <v>32000</v>
      </c>
    </row>
    <row r="48" spans="1:8" s="92" customFormat="1">
      <c r="A48" s="405">
        <v>-329</v>
      </c>
      <c r="B48" s="406" t="s">
        <v>58</v>
      </c>
      <c r="C48" s="276" t="s">
        <v>233</v>
      </c>
      <c r="D48" s="263">
        <f>D49+D50+D51+D52+D53</f>
        <v>40052.75</v>
      </c>
      <c r="E48" s="402"/>
      <c r="F48" s="263">
        <f>F49+F50+F51+F52+F53</f>
        <v>97000</v>
      </c>
      <c r="G48" s="263">
        <f t="shared" ref="G48:H48" si="11">G49+G50+G51+G52+G53</f>
        <v>83000</v>
      </c>
      <c r="H48" s="263">
        <f t="shared" si="11"/>
        <v>81000</v>
      </c>
    </row>
    <row r="49" spans="1:8">
      <c r="A49" s="394">
        <v>3293</v>
      </c>
      <c r="B49" s="395" t="s">
        <v>64</v>
      </c>
      <c r="C49" s="396" t="s">
        <v>233</v>
      </c>
      <c r="D49" s="397">
        <v>25413.89</v>
      </c>
      <c r="E49" s="398" t="s">
        <v>0</v>
      </c>
      <c r="F49" s="397">
        <v>52000</v>
      </c>
      <c r="G49" s="397">
        <v>50000</v>
      </c>
      <c r="H49" s="397">
        <v>50000</v>
      </c>
    </row>
    <row r="50" spans="1:8">
      <c r="A50" s="284">
        <v>3293</v>
      </c>
      <c r="B50" s="285" t="s">
        <v>64</v>
      </c>
      <c r="C50" s="404" t="s">
        <v>233</v>
      </c>
      <c r="D50" s="382">
        <v>3595.12</v>
      </c>
      <c r="E50" s="388" t="s">
        <v>272</v>
      </c>
      <c r="F50" s="382">
        <v>10000</v>
      </c>
      <c r="G50" s="382">
        <v>0</v>
      </c>
      <c r="H50" s="382">
        <v>0</v>
      </c>
    </row>
    <row r="51" spans="1:8">
      <c r="A51" s="281">
        <v>3295</v>
      </c>
      <c r="B51" s="282" t="s">
        <v>68</v>
      </c>
      <c r="C51" s="403" t="s">
        <v>233</v>
      </c>
      <c r="D51" s="380">
        <v>1362.5</v>
      </c>
      <c r="E51" s="387" t="s">
        <v>0</v>
      </c>
      <c r="F51" s="380">
        <v>10000</v>
      </c>
      <c r="G51" s="380">
        <v>8000</v>
      </c>
      <c r="H51" s="380">
        <v>6000</v>
      </c>
    </row>
    <row r="52" spans="1:8">
      <c r="A52" s="284">
        <v>3295</v>
      </c>
      <c r="B52" s="285" t="s">
        <v>68</v>
      </c>
      <c r="C52" s="404" t="s">
        <v>233</v>
      </c>
      <c r="D52" s="382">
        <v>240</v>
      </c>
      <c r="E52" s="388" t="s">
        <v>272</v>
      </c>
      <c r="F52" s="382">
        <v>0</v>
      </c>
      <c r="G52" s="382">
        <v>0</v>
      </c>
      <c r="H52" s="382">
        <v>0</v>
      </c>
    </row>
    <row r="53" spans="1:8">
      <c r="A53" s="281">
        <v>3294</v>
      </c>
      <c r="B53" s="282" t="s">
        <v>66</v>
      </c>
      <c r="C53" s="403" t="s">
        <v>233</v>
      </c>
      <c r="D53" s="380">
        <v>9441.24</v>
      </c>
      <c r="E53" s="387" t="s">
        <v>0</v>
      </c>
      <c r="F53" s="380">
        <v>25000</v>
      </c>
      <c r="G53" s="380">
        <v>25000</v>
      </c>
      <c r="H53" s="380">
        <v>25000</v>
      </c>
    </row>
    <row r="54" spans="1:8" s="92" customFormat="1">
      <c r="A54" s="400" t="s">
        <v>70</v>
      </c>
      <c r="B54" s="401" t="s">
        <v>71</v>
      </c>
      <c r="C54" s="276" t="s">
        <v>233</v>
      </c>
      <c r="D54" s="263">
        <f t="shared" ref="D54" si="12">D55+D56+D57+D58+D59</f>
        <v>4970</v>
      </c>
      <c r="E54" s="402"/>
      <c r="F54" s="263">
        <f>F55+F56+F57+F58+F59</f>
        <v>3000</v>
      </c>
      <c r="G54" s="263">
        <f t="shared" ref="G54:H54" si="13">G55+G56+G57+G58+G59</f>
        <v>3000</v>
      </c>
      <c r="H54" s="263">
        <f t="shared" si="13"/>
        <v>3000</v>
      </c>
    </row>
    <row r="55" spans="1:8">
      <c r="A55" s="394" t="s">
        <v>72</v>
      </c>
      <c r="B55" s="395" t="s">
        <v>73</v>
      </c>
      <c r="C55" s="396" t="s">
        <v>233</v>
      </c>
      <c r="D55" s="381">
        <v>4170</v>
      </c>
      <c r="E55" s="399" t="s">
        <v>0</v>
      </c>
      <c r="F55" s="381">
        <v>2000</v>
      </c>
      <c r="G55" s="381">
        <v>2000</v>
      </c>
      <c r="H55" s="381">
        <v>2000</v>
      </c>
    </row>
    <row r="56" spans="1:8">
      <c r="A56" s="284">
        <v>3431</v>
      </c>
      <c r="B56" s="285" t="s">
        <v>73</v>
      </c>
      <c r="C56" s="404" t="s">
        <v>233</v>
      </c>
      <c r="D56" s="382">
        <v>300</v>
      </c>
      <c r="E56" s="388" t="s">
        <v>272</v>
      </c>
      <c r="F56" s="382">
        <v>0</v>
      </c>
      <c r="G56" s="382">
        <v>0</v>
      </c>
      <c r="H56" s="382">
        <v>0</v>
      </c>
    </row>
    <row r="57" spans="1:8">
      <c r="A57" s="281">
        <v>3432</v>
      </c>
      <c r="B57" s="282" t="s">
        <v>336</v>
      </c>
      <c r="C57" s="403" t="s">
        <v>233</v>
      </c>
      <c r="D57" s="380">
        <v>200</v>
      </c>
      <c r="E57" s="387" t="s">
        <v>0</v>
      </c>
      <c r="F57" s="380">
        <v>500</v>
      </c>
      <c r="G57" s="380">
        <v>500</v>
      </c>
      <c r="H57" s="380">
        <v>500</v>
      </c>
    </row>
    <row r="58" spans="1:8">
      <c r="A58" s="284">
        <v>3432</v>
      </c>
      <c r="B58" s="285" t="s">
        <v>336</v>
      </c>
      <c r="C58" s="404" t="s">
        <v>233</v>
      </c>
      <c r="D58" s="382">
        <v>200</v>
      </c>
      <c r="E58" s="388" t="s">
        <v>272</v>
      </c>
      <c r="F58" s="382">
        <v>0</v>
      </c>
      <c r="G58" s="382">
        <v>0</v>
      </c>
      <c r="H58" s="382">
        <v>0</v>
      </c>
    </row>
    <row r="59" spans="1:8">
      <c r="A59" s="281">
        <v>3433</v>
      </c>
      <c r="B59" s="282" t="s">
        <v>75</v>
      </c>
      <c r="C59" s="403" t="s">
        <v>233</v>
      </c>
      <c r="D59" s="380">
        <v>100</v>
      </c>
      <c r="E59" s="387" t="s">
        <v>0</v>
      </c>
      <c r="F59" s="380">
        <v>500</v>
      </c>
      <c r="G59" s="380">
        <v>500</v>
      </c>
      <c r="H59" s="380">
        <v>500</v>
      </c>
    </row>
    <row r="60" spans="1:8">
      <c r="A60" s="274" t="s">
        <v>83</v>
      </c>
      <c r="B60" s="275" t="s">
        <v>84</v>
      </c>
      <c r="C60" s="276" t="s">
        <v>233</v>
      </c>
      <c r="D60" s="383">
        <f t="shared" ref="D60" si="14">D61</f>
        <v>2000</v>
      </c>
      <c r="E60" s="392">
        <v>11</v>
      </c>
      <c r="F60" s="383">
        <f>F61</f>
        <v>13000</v>
      </c>
      <c r="G60" s="383">
        <f t="shared" ref="G60:H60" si="15">G61</f>
        <v>5000</v>
      </c>
      <c r="H60" s="383">
        <f t="shared" si="15"/>
        <v>3000</v>
      </c>
    </row>
    <row r="61" spans="1:8">
      <c r="A61" s="394" t="s">
        <v>85</v>
      </c>
      <c r="B61" s="395" t="s">
        <v>86</v>
      </c>
      <c r="C61" s="396" t="s">
        <v>233</v>
      </c>
      <c r="D61" s="381">
        <v>2000</v>
      </c>
      <c r="E61" s="399">
        <v>11</v>
      </c>
      <c r="F61" s="381">
        <v>13000</v>
      </c>
      <c r="G61" s="381">
        <v>5000</v>
      </c>
      <c r="H61" s="381">
        <v>3000</v>
      </c>
    </row>
    <row r="62" spans="1:8">
      <c r="A62" s="274" t="s">
        <v>88</v>
      </c>
      <c r="B62" s="275" t="s">
        <v>89</v>
      </c>
      <c r="C62" s="276" t="s">
        <v>233</v>
      </c>
      <c r="D62" s="383">
        <f t="shared" ref="D62" si="16">D63+D64</f>
        <v>32000</v>
      </c>
      <c r="E62" s="392">
        <v>11</v>
      </c>
      <c r="F62" s="383">
        <f>F63+F64</f>
        <v>10000</v>
      </c>
      <c r="G62" s="383">
        <f t="shared" ref="G62:H62" si="17">G63+G64</f>
        <v>9000</v>
      </c>
      <c r="H62" s="383">
        <f t="shared" si="17"/>
        <v>9000</v>
      </c>
    </row>
    <row r="63" spans="1:8">
      <c r="A63" s="394" t="s">
        <v>90</v>
      </c>
      <c r="B63" s="395" t="s">
        <v>91</v>
      </c>
      <c r="C63" s="396" t="s">
        <v>233</v>
      </c>
      <c r="D63" s="381">
        <v>12000</v>
      </c>
      <c r="E63" s="399" t="s">
        <v>0</v>
      </c>
      <c r="F63" s="381">
        <v>2000</v>
      </c>
      <c r="G63" s="381">
        <v>2000</v>
      </c>
      <c r="H63" s="381">
        <v>2000</v>
      </c>
    </row>
    <row r="64" spans="1:8">
      <c r="A64" s="281" t="s">
        <v>92</v>
      </c>
      <c r="B64" s="282" t="s">
        <v>93</v>
      </c>
      <c r="C64" s="276" t="s">
        <v>233</v>
      </c>
      <c r="D64" s="380">
        <v>20000</v>
      </c>
      <c r="E64" s="387" t="s">
        <v>0</v>
      </c>
      <c r="F64" s="380">
        <v>8000</v>
      </c>
      <c r="G64" s="380">
        <v>7000</v>
      </c>
      <c r="H64" s="380">
        <v>7000</v>
      </c>
    </row>
    <row r="171" ht="15" customHeight="1"/>
  </sheetData>
  <customSheetViews>
    <customSheetView guid="{DE360DA9-5353-4F03-95DA-9238CFBE39D8}" scale="110" showPageBreaks="1" printArea="1" hiddenColumns="1" state="hidden">
      <selection activeCell="F20" sqref="F20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1"/>
      <headerFooter>
        <oddFooter>&amp;CHCZP&amp;R&amp;P</oddFooter>
      </headerFooter>
    </customSheetView>
    <customSheetView guid="{4FFB33FE-6696-4144-BF99-378C5196B940}" scale="110" showPageBreaks="1" printArea="1" hiddenColumns="1" state="hidden">
      <selection activeCell="F20" sqref="F20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2"/>
      <headerFooter>
        <oddFooter>&amp;CHCZP&amp;R&amp;P</oddFooter>
      </headerFooter>
    </customSheetView>
    <customSheetView guid="{3D59341C-00F4-4635-AC4F-8988CF6BE637}" scale="110" hiddenColumns="1" state="hidden">
      <selection activeCell="F20" sqref="F20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3"/>
      <headerFooter>
        <oddFooter>&amp;CHCZP&amp;R&amp;P</oddFooter>
      </headerFooter>
    </customSheetView>
    <customSheetView guid="{5251AB89-31D9-4C6C-945A-13C9748C2E26}" scale="110" hiddenColumns="1" state="hidden">
      <selection activeCell="F20" sqref="F20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4"/>
      <headerFooter>
        <oddFooter>&amp;CHCZP&amp;R&amp;P</oddFooter>
      </headerFooter>
    </customSheetView>
    <customSheetView guid="{14A1FC8C-94B5-4B4E-9269-30661976D1D1}" scale="110" hiddenColumns="1" state="hidden">
      <selection activeCell="F20" sqref="F20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5"/>
      <headerFooter>
        <oddFooter>&amp;CHCZP&amp;R&amp;P</oddFooter>
      </headerFooter>
    </customSheetView>
    <customSheetView guid="{D0F51479-7B68-4FFC-8604-F0A17468B00E}" scale="110" hiddenColumns="1" state="hidden">
      <selection activeCell="F20" sqref="F20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6"/>
      <headerFooter>
        <oddFooter>&amp;CHCZP&amp;R&amp;P</oddFooter>
      </headerFooter>
    </customSheetView>
    <customSheetView guid="{0D7CE69A-AF67-471F-AE1C-92FEF35D1955}" scale="110" showPageBreaks="1" printArea="1" hiddenColumns="1" state="hidden">
      <selection activeCell="F20" sqref="F20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7"/>
      <headerFooter>
        <oddFooter>&amp;CHCZP&amp;R&amp;P</oddFooter>
      </headerFooter>
    </customSheetView>
    <customSheetView guid="{3EC3B099-A84F-48D2-A97E-B7686AB72BE7}" scale="110" showPageBreaks="1" printArea="1" hiddenColumns="1" state="hidden">
      <selection activeCell="F20" sqref="F20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8"/>
      <headerFooter>
        <oddFooter>&amp;CHCZP&amp;R&amp;P</oddFooter>
      </headerFooter>
    </customSheetView>
  </customSheetViews>
  <mergeCells count="3">
    <mergeCell ref="B2:C2"/>
    <mergeCell ref="A3:C8"/>
    <mergeCell ref="A9:H9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9"/>
  <headerFooter>
    <oddFooter>&amp;CHCZP&amp;R&amp;P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G59"/>
  <sheetViews>
    <sheetView zoomScaleNormal="100" zoomScaleSheetLayoutView="110" workbookViewId="0">
      <pane ySplit="3" topLeftCell="A4" activePane="bottomLeft" state="frozen"/>
      <selection pane="bottomLeft" activeCell="F13" sqref="F13"/>
    </sheetView>
  </sheetViews>
  <sheetFormatPr defaultColWidth="17.5703125" defaultRowHeight="12"/>
  <cols>
    <col min="1" max="1" width="4.7109375" style="28" customWidth="1"/>
    <col min="2" max="2" width="10.7109375" style="28" customWidth="1"/>
    <col min="3" max="3" width="55.7109375" style="200" customWidth="1"/>
    <col min="4" max="4" width="2" style="202" hidden="1" customWidth="1"/>
    <col min="5" max="7" width="17.7109375" style="202" customWidth="1"/>
    <col min="8" max="243" width="46" style="202" customWidth="1"/>
    <col min="244" max="244" width="5.7109375" style="202" customWidth="1"/>
    <col min="245" max="245" width="11" style="202" customWidth="1"/>
    <col min="246" max="246" width="34.5703125" style="202" customWidth="1"/>
    <col min="247" max="248" width="17.5703125" style="202"/>
    <col min="249" max="249" width="5.140625" style="202" customWidth="1"/>
    <col min="250" max="250" width="10.42578125" style="202" customWidth="1"/>
    <col min="251" max="251" width="34.42578125" style="202" customWidth="1"/>
    <col min="252" max="252" width="17.5703125" style="202" hidden="1" customWidth="1"/>
    <col min="253" max="254" width="14.7109375" style="202" customWidth="1"/>
    <col min="255" max="255" width="17.5703125" style="202" hidden="1" customWidth="1"/>
    <col min="256" max="256" width="10.7109375" style="202" customWidth="1"/>
    <col min="257" max="257" width="14.7109375" style="202" customWidth="1"/>
    <col min="258" max="258" width="10.7109375" style="202" customWidth="1"/>
    <col min="259" max="259" width="14.7109375" style="202" customWidth="1"/>
    <col min="260" max="260" width="10.7109375" style="202" customWidth="1"/>
    <col min="261" max="499" width="46" style="202" customWidth="1"/>
    <col min="500" max="500" width="5.7109375" style="202" customWidth="1"/>
    <col min="501" max="501" width="11" style="202" customWidth="1"/>
    <col min="502" max="502" width="34.5703125" style="202" customWidth="1"/>
    <col min="503" max="504" width="17.5703125" style="202"/>
    <col min="505" max="505" width="5.140625" style="202" customWidth="1"/>
    <col min="506" max="506" width="10.42578125" style="202" customWidth="1"/>
    <col min="507" max="507" width="34.42578125" style="202" customWidth="1"/>
    <col min="508" max="508" width="17.5703125" style="202" hidden="1" customWidth="1"/>
    <col min="509" max="510" width="14.7109375" style="202" customWidth="1"/>
    <col min="511" max="511" width="17.5703125" style="202" hidden="1" customWidth="1"/>
    <col min="512" max="512" width="10.7109375" style="202" customWidth="1"/>
    <col min="513" max="513" width="14.7109375" style="202" customWidth="1"/>
    <col min="514" max="514" width="10.7109375" style="202" customWidth="1"/>
    <col min="515" max="515" width="14.7109375" style="202" customWidth="1"/>
    <col min="516" max="516" width="10.7109375" style="202" customWidth="1"/>
    <col min="517" max="755" width="46" style="202" customWidth="1"/>
    <col min="756" max="756" width="5.7109375" style="202" customWidth="1"/>
    <col min="757" max="757" width="11" style="202" customWidth="1"/>
    <col min="758" max="758" width="34.5703125" style="202" customWidth="1"/>
    <col min="759" max="760" width="17.5703125" style="202"/>
    <col min="761" max="761" width="5.140625" style="202" customWidth="1"/>
    <col min="762" max="762" width="10.42578125" style="202" customWidth="1"/>
    <col min="763" max="763" width="34.42578125" style="202" customWidth="1"/>
    <col min="764" max="764" width="17.5703125" style="202" hidden="1" customWidth="1"/>
    <col min="765" max="766" width="14.7109375" style="202" customWidth="1"/>
    <col min="767" max="767" width="17.5703125" style="202" hidden="1" customWidth="1"/>
    <col min="768" max="768" width="10.7109375" style="202" customWidth="1"/>
    <col min="769" max="769" width="14.7109375" style="202" customWidth="1"/>
    <col min="770" max="770" width="10.7109375" style="202" customWidth="1"/>
    <col min="771" max="771" width="14.7109375" style="202" customWidth="1"/>
    <col min="772" max="772" width="10.7109375" style="202" customWidth="1"/>
    <col min="773" max="1011" width="46" style="202" customWidth="1"/>
    <col min="1012" max="1012" width="5.7109375" style="202" customWidth="1"/>
    <col min="1013" max="1013" width="11" style="202" customWidth="1"/>
    <col min="1014" max="1014" width="34.5703125" style="202" customWidth="1"/>
    <col min="1015" max="1016" width="17.5703125" style="202"/>
    <col min="1017" max="1017" width="5.140625" style="202" customWidth="1"/>
    <col min="1018" max="1018" width="10.42578125" style="202" customWidth="1"/>
    <col min="1019" max="1019" width="34.42578125" style="202" customWidth="1"/>
    <col min="1020" max="1020" width="17.5703125" style="202" hidden="1" customWidth="1"/>
    <col min="1021" max="1022" width="14.7109375" style="202" customWidth="1"/>
    <col min="1023" max="1023" width="17.5703125" style="202" hidden="1" customWidth="1"/>
    <col min="1024" max="1024" width="10.7109375" style="202" customWidth="1"/>
    <col min="1025" max="1025" width="14.7109375" style="202" customWidth="1"/>
    <col min="1026" max="1026" width="10.7109375" style="202" customWidth="1"/>
    <col min="1027" max="1027" width="14.7109375" style="202" customWidth="1"/>
    <col min="1028" max="1028" width="10.7109375" style="202" customWidth="1"/>
    <col min="1029" max="1267" width="46" style="202" customWidth="1"/>
    <col min="1268" max="1268" width="5.7109375" style="202" customWidth="1"/>
    <col min="1269" max="1269" width="11" style="202" customWidth="1"/>
    <col min="1270" max="1270" width="34.5703125" style="202" customWidth="1"/>
    <col min="1271" max="1272" width="17.5703125" style="202"/>
    <col min="1273" max="1273" width="5.140625" style="202" customWidth="1"/>
    <col min="1274" max="1274" width="10.42578125" style="202" customWidth="1"/>
    <col min="1275" max="1275" width="34.42578125" style="202" customWidth="1"/>
    <col min="1276" max="1276" width="17.5703125" style="202" hidden="1" customWidth="1"/>
    <col min="1277" max="1278" width="14.7109375" style="202" customWidth="1"/>
    <col min="1279" max="1279" width="17.5703125" style="202" hidden="1" customWidth="1"/>
    <col min="1280" max="1280" width="10.7109375" style="202" customWidth="1"/>
    <col min="1281" max="1281" width="14.7109375" style="202" customWidth="1"/>
    <col min="1282" max="1282" width="10.7109375" style="202" customWidth="1"/>
    <col min="1283" max="1283" width="14.7109375" style="202" customWidth="1"/>
    <col min="1284" max="1284" width="10.7109375" style="202" customWidth="1"/>
    <col min="1285" max="1523" width="46" style="202" customWidth="1"/>
    <col min="1524" max="1524" width="5.7109375" style="202" customWidth="1"/>
    <col min="1525" max="1525" width="11" style="202" customWidth="1"/>
    <col min="1526" max="1526" width="34.5703125" style="202" customWidth="1"/>
    <col min="1527" max="1528" width="17.5703125" style="202"/>
    <col min="1529" max="1529" width="5.140625" style="202" customWidth="1"/>
    <col min="1530" max="1530" width="10.42578125" style="202" customWidth="1"/>
    <col min="1531" max="1531" width="34.42578125" style="202" customWidth="1"/>
    <col min="1532" max="1532" width="17.5703125" style="202" hidden="1" customWidth="1"/>
    <col min="1533" max="1534" width="14.7109375" style="202" customWidth="1"/>
    <col min="1535" max="1535" width="17.5703125" style="202" hidden="1" customWidth="1"/>
    <col min="1536" max="1536" width="10.7109375" style="202" customWidth="1"/>
    <col min="1537" max="1537" width="14.7109375" style="202" customWidth="1"/>
    <col min="1538" max="1538" width="10.7109375" style="202" customWidth="1"/>
    <col min="1539" max="1539" width="14.7109375" style="202" customWidth="1"/>
    <col min="1540" max="1540" width="10.7109375" style="202" customWidth="1"/>
    <col min="1541" max="1779" width="46" style="202" customWidth="1"/>
    <col min="1780" max="1780" width="5.7109375" style="202" customWidth="1"/>
    <col min="1781" max="1781" width="11" style="202" customWidth="1"/>
    <col min="1782" max="1782" width="34.5703125" style="202" customWidth="1"/>
    <col min="1783" max="1784" width="17.5703125" style="202"/>
    <col min="1785" max="1785" width="5.140625" style="202" customWidth="1"/>
    <col min="1786" max="1786" width="10.42578125" style="202" customWidth="1"/>
    <col min="1787" max="1787" width="34.42578125" style="202" customWidth="1"/>
    <col min="1788" max="1788" width="17.5703125" style="202" hidden="1" customWidth="1"/>
    <col min="1789" max="1790" width="14.7109375" style="202" customWidth="1"/>
    <col min="1791" max="1791" width="17.5703125" style="202" hidden="1" customWidth="1"/>
    <col min="1792" max="1792" width="10.7109375" style="202" customWidth="1"/>
    <col min="1793" max="1793" width="14.7109375" style="202" customWidth="1"/>
    <col min="1794" max="1794" width="10.7109375" style="202" customWidth="1"/>
    <col min="1795" max="1795" width="14.7109375" style="202" customWidth="1"/>
    <col min="1796" max="1796" width="10.7109375" style="202" customWidth="1"/>
    <col min="1797" max="2035" width="46" style="202" customWidth="1"/>
    <col min="2036" max="2036" width="5.7109375" style="202" customWidth="1"/>
    <col min="2037" max="2037" width="11" style="202" customWidth="1"/>
    <col min="2038" max="2038" width="34.5703125" style="202" customWidth="1"/>
    <col min="2039" max="2040" width="17.5703125" style="202"/>
    <col min="2041" max="2041" width="5.140625" style="202" customWidth="1"/>
    <col min="2042" max="2042" width="10.42578125" style="202" customWidth="1"/>
    <col min="2043" max="2043" width="34.42578125" style="202" customWidth="1"/>
    <col min="2044" max="2044" width="17.5703125" style="202" hidden="1" customWidth="1"/>
    <col min="2045" max="2046" width="14.7109375" style="202" customWidth="1"/>
    <col min="2047" max="2047" width="17.5703125" style="202" hidden="1" customWidth="1"/>
    <col min="2048" max="2048" width="10.7109375" style="202" customWidth="1"/>
    <col min="2049" max="2049" width="14.7109375" style="202" customWidth="1"/>
    <col min="2050" max="2050" width="10.7109375" style="202" customWidth="1"/>
    <col min="2051" max="2051" width="14.7109375" style="202" customWidth="1"/>
    <col min="2052" max="2052" width="10.7109375" style="202" customWidth="1"/>
    <col min="2053" max="2291" width="46" style="202" customWidth="1"/>
    <col min="2292" max="2292" width="5.7109375" style="202" customWidth="1"/>
    <col min="2293" max="2293" width="11" style="202" customWidth="1"/>
    <col min="2294" max="2294" width="34.5703125" style="202" customWidth="1"/>
    <col min="2295" max="2296" width="17.5703125" style="202"/>
    <col min="2297" max="2297" width="5.140625" style="202" customWidth="1"/>
    <col min="2298" max="2298" width="10.42578125" style="202" customWidth="1"/>
    <col min="2299" max="2299" width="34.42578125" style="202" customWidth="1"/>
    <col min="2300" max="2300" width="17.5703125" style="202" hidden="1" customWidth="1"/>
    <col min="2301" max="2302" width="14.7109375" style="202" customWidth="1"/>
    <col min="2303" max="2303" width="17.5703125" style="202" hidden="1" customWidth="1"/>
    <col min="2304" max="2304" width="10.7109375" style="202" customWidth="1"/>
    <col min="2305" max="2305" width="14.7109375" style="202" customWidth="1"/>
    <col min="2306" max="2306" width="10.7109375" style="202" customWidth="1"/>
    <col min="2307" max="2307" width="14.7109375" style="202" customWidth="1"/>
    <col min="2308" max="2308" width="10.7109375" style="202" customWidth="1"/>
    <col min="2309" max="2547" width="46" style="202" customWidth="1"/>
    <col min="2548" max="2548" width="5.7109375" style="202" customWidth="1"/>
    <col min="2549" max="2549" width="11" style="202" customWidth="1"/>
    <col min="2550" max="2550" width="34.5703125" style="202" customWidth="1"/>
    <col min="2551" max="2552" width="17.5703125" style="202"/>
    <col min="2553" max="2553" width="5.140625" style="202" customWidth="1"/>
    <col min="2554" max="2554" width="10.42578125" style="202" customWidth="1"/>
    <col min="2555" max="2555" width="34.42578125" style="202" customWidth="1"/>
    <col min="2556" max="2556" width="17.5703125" style="202" hidden="1" customWidth="1"/>
    <col min="2557" max="2558" width="14.7109375" style="202" customWidth="1"/>
    <col min="2559" max="2559" width="17.5703125" style="202" hidden="1" customWidth="1"/>
    <col min="2560" max="2560" width="10.7109375" style="202" customWidth="1"/>
    <col min="2561" max="2561" width="14.7109375" style="202" customWidth="1"/>
    <col min="2562" max="2562" width="10.7109375" style="202" customWidth="1"/>
    <col min="2563" max="2563" width="14.7109375" style="202" customWidth="1"/>
    <col min="2564" max="2564" width="10.7109375" style="202" customWidth="1"/>
    <col min="2565" max="2803" width="46" style="202" customWidth="1"/>
    <col min="2804" max="2804" width="5.7109375" style="202" customWidth="1"/>
    <col min="2805" max="2805" width="11" style="202" customWidth="1"/>
    <col min="2806" max="2806" width="34.5703125" style="202" customWidth="1"/>
    <col min="2807" max="2808" width="17.5703125" style="202"/>
    <col min="2809" max="2809" width="5.140625" style="202" customWidth="1"/>
    <col min="2810" max="2810" width="10.42578125" style="202" customWidth="1"/>
    <col min="2811" max="2811" width="34.42578125" style="202" customWidth="1"/>
    <col min="2812" max="2812" width="17.5703125" style="202" hidden="1" customWidth="1"/>
    <col min="2813" max="2814" width="14.7109375" style="202" customWidth="1"/>
    <col min="2815" max="2815" width="17.5703125" style="202" hidden="1" customWidth="1"/>
    <col min="2816" max="2816" width="10.7109375" style="202" customWidth="1"/>
    <col min="2817" max="2817" width="14.7109375" style="202" customWidth="1"/>
    <col min="2818" max="2818" width="10.7109375" style="202" customWidth="1"/>
    <col min="2819" max="2819" width="14.7109375" style="202" customWidth="1"/>
    <col min="2820" max="2820" width="10.7109375" style="202" customWidth="1"/>
    <col min="2821" max="3059" width="46" style="202" customWidth="1"/>
    <col min="3060" max="3060" width="5.7109375" style="202" customWidth="1"/>
    <col min="3061" max="3061" width="11" style="202" customWidth="1"/>
    <col min="3062" max="3062" width="34.5703125" style="202" customWidth="1"/>
    <col min="3063" max="3064" width="17.5703125" style="202"/>
    <col min="3065" max="3065" width="5.140625" style="202" customWidth="1"/>
    <col min="3066" max="3066" width="10.42578125" style="202" customWidth="1"/>
    <col min="3067" max="3067" width="34.42578125" style="202" customWidth="1"/>
    <col min="3068" max="3068" width="17.5703125" style="202" hidden="1" customWidth="1"/>
    <col min="3069" max="3070" width="14.7109375" style="202" customWidth="1"/>
    <col min="3071" max="3071" width="17.5703125" style="202" hidden="1" customWidth="1"/>
    <col min="3072" max="3072" width="10.7109375" style="202" customWidth="1"/>
    <col min="3073" max="3073" width="14.7109375" style="202" customWidth="1"/>
    <col min="3074" max="3074" width="10.7109375" style="202" customWidth="1"/>
    <col min="3075" max="3075" width="14.7109375" style="202" customWidth="1"/>
    <col min="3076" max="3076" width="10.7109375" style="202" customWidth="1"/>
    <col min="3077" max="3315" width="46" style="202" customWidth="1"/>
    <col min="3316" max="3316" width="5.7109375" style="202" customWidth="1"/>
    <col min="3317" max="3317" width="11" style="202" customWidth="1"/>
    <col min="3318" max="3318" width="34.5703125" style="202" customWidth="1"/>
    <col min="3319" max="3320" width="17.5703125" style="202"/>
    <col min="3321" max="3321" width="5.140625" style="202" customWidth="1"/>
    <col min="3322" max="3322" width="10.42578125" style="202" customWidth="1"/>
    <col min="3323" max="3323" width="34.42578125" style="202" customWidth="1"/>
    <col min="3324" max="3324" width="17.5703125" style="202" hidden="1" customWidth="1"/>
    <col min="3325" max="3326" width="14.7109375" style="202" customWidth="1"/>
    <col min="3327" max="3327" width="17.5703125" style="202" hidden="1" customWidth="1"/>
    <col min="3328" max="3328" width="10.7109375" style="202" customWidth="1"/>
    <col min="3329" max="3329" width="14.7109375" style="202" customWidth="1"/>
    <col min="3330" max="3330" width="10.7109375" style="202" customWidth="1"/>
    <col min="3331" max="3331" width="14.7109375" style="202" customWidth="1"/>
    <col min="3332" max="3332" width="10.7109375" style="202" customWidth="1"/>
    <col min="3333" max="3571" width="46" style="202" customWidth="1"/>
    <col min="3572" max="3572" width="5.7109375" style="202" customWidth="1"/>
    <col min="3573" max="3573" width="11" style="202" customWidth="1"/>
    <col min="3574" max="3574" width="34.5703125" style="202" customWidth="1"/>
    <col min="3575" max="3576" width="17.5703125" style="202"/>
    <col min="3577" max="3577" width="5.140625" style="202" customWidth="1"/>
    <col min="3578" max="3578" width="10.42578125" style="202" customWidth="1"/>
    <col min="3579" max="3579" width="34.42578125" style="202" customWidth="1"/>
    <col min="3580" max="3580" width="17.5703125" style="202" hidden="1" customWidth="1"/>
    <col min="3581" max="3582" width="14.7109375" style="202" customWidth="1"/>
    <col min="3583" max="3583" width="17.5703125" style="202" hidden="1" customWidth="1"/>
    <col min="3584" max="3584" width="10.7109375" style="202" customWidth="1"/>
    <col min="3585" max="3585" width="14.7109375" style="202" customWidth="1"/>
    <col min="3586" max="3586" width="10.7109375" style="202" customWidth="1"/>
    <col min="3587" max="3587" width="14.7109375" style="202" customWidth="1"/>
    <col min="3588" max="3588" width="10.7109375" style="202" customWidth="1"/>
    <col min="3589" max="3827" width="46" style="202" customWidth="1"/>
    <col min="3828" max="3828" width="5.7109375" style="202" customWidth="1"/>
    <col min="3829" max="3829" width="11" style="202" customWidth="1"/>
    <col min="3830" max="3830" width="34.5703125" style="202" customWidth="1"/>
    <col min="3831" max="3832" width="17.5703125" style="202"/>
    <col min="3833" max="3833" width="5.140625" style="202" customWidth="1"/>
    <col min="3834" max="3834" width="10.42578125" style="202" customWidth="1"/>
    <col min="3835" max="3835" width="34.42578125" style="202" customWidth="1"/>
    <col min="3836" max="3836" width="17.5703125" style="202" hidden="1" customWidth="1"/>
    <col min="3837" max="3838" width="14.7109375" style="202" customWidth="1"/>
    <col min="3839" max="3839" width="17.5703125" style="202" hidden="1" customWidth="1"/>
    <col min="3840" max="3840" width="10.7109375" style="202" customWidth="1"/>
    <col min="3841" max="3841" width="14.7109375" style="202" customWidth="1"/>
    <col min="3842" max="3842" width="10.7109375" style="202" customWidth="1"/>
    <col min="3843" max="3843" width="14.7109375" style="202" customWidth="1"/>
    <col min="3844" max="3844" width="10.7109375" style="202" customWidth="1"/>
    <col min="3845" max="4083" width="46" style="202" customWidth="1"/>
    <col min="4084" max="4084" width="5.7109375" style="202" customWidth="1"/>
    <col min="4085" max="4085" width="11" style="202" customWidth="1"/>
    <col min="4086" max="4086" width="34.5703125" style="202" customWidth="1"/>
    <col min="4087" max="4088" width="17.5703125" style="202"/>
    <col min="4089" max="4089" width="5.140625" style="202" customWidth="1"/>
    <col min="4090" max="4090" width="10.42578125" style="202" customWidth="1"/>
    <col min="4091" max="4091" width="34.42578125" style="202" customWidth="1"/>
    <col min="4092" max="4092" width="17.5703125" style="202" hidden="1" customWidth="1"/>
    <col min="4093" max="4094" width="14.7109375" style="202" customWidth="1"/>
    <col min="4095" max="4095" width="17.5703125" style="202" hidden="1" customWidth="1"/>
    <col min="4096" max="4096" width="10.7109375" style="202" customWidth="1"/>
    <col min="4097" max="4097" width="14.7109375" style="202" customWidth="1"/>
    <col min="4098" max="4098" width="10.7109375" style="202" customWidth="1"/>
    <col min="4099" max="4099" width="14.7109375" style="202" customWidth="1"/>
    <col min="4100" max="4100" width="10.7109375" style="202" customWidth="1"/>
    <col min="4101" max="4339" width="46" style="202" customWidth="1"/>
    <col min="4340" max="4340" width="5.7109375" style="202" customWidth="1"/>
    <col min="4341" max="4341" width="11" style="202" customWidth="1"/>
    <col min="4342" max="4342" width="34.5703125" style="202" customWidth="1"/>
    <col min="4343" max="4344" width="17.5703125" style="202"/>
    <col min="4345" max="4345" width="5.140625" style="202" customWidth="1"/>
    <col min="4346" max="4346" width="10.42578125" style="202" customWidth="1"/>
    <col min="4347" max="4347" width="34.42578125" style="202" customWidth="1"/>
    <col min="4348" max="4348" width="17.5703125" style="202" hidden="1" customWidth="1"/>
    <col min="4349" max="4350" width="14.7109375" style="202" customWidth="1"/>
    <col min="4351" max="4351" width="17.5703125" style="202" hidden="1" customWidth="1"/>
    <col min="4352" max="4352" width="10.7109375" style="202" customWidth="1"/>
    <col min="4353" max="4353" width="14.7109375" style="202" customWidth="1"/>
    <col min="4354" max="4354" width="10.7109375" style="202" customWidth="1"/>
    <col min="4355" max="4355" width="14.7109375" style="202" customWidth="1"/>
    <col min="4356" max="4356" width="10.7109375" style="202" customWidth="1"/>
    <col min="4357" max="4595" width="46" style="202" customWidth="1"/>
    <col min="4596" max="4596" width="5.7109375" style="202" customWidth="1"/>
    <col min="4597" max="4597" width="11" style="202" customWidth="1"/>
    <col min="4598" max="4598" width="34.5703125" style="202" customWidth="1"/>
    <col min="4599" max="4600" width="17.5703125" style="202"/>
    <col min="4601" max="4601" width="5.140625" style="202" customWidth="1"/>
    <col min="4602" max="4602" width="10.42578125" style="202" customWidth="1"/>
    <col min="4603" max="4603" width="34.42578125" style="202" customWidth="1"/>
    <col min="4604" max="4604" width="17.5703125" style="202" hidden="1" customWidth="1"/>
    <col min="4605" max="4606" width="14.7109375" style="202" customWidth="1"/>
    <col min="4607" max="4607" width="17.5703125" style="202" hidden="1" customWidth="1"/>
    <col min="4608" max="4608" width="10.7109375" style="202" customWidth="1"/>
    <col min="4609" max="4609" width="14.7109375" style="202" customWidth="1"/>
    <col min="4610" max="4610" width="10.7109375" style="202" customWidth="1"/>
    <col min="4611" max="4611" width="14.7109375" style="202" customWidth="1"/>
    <col min="4612" max="4612" width="10.7109375" style="202" customWidth="1"/>
    <col min="4613" max="4851" width="46" style="202" customWidth="1"/>
    <col min="4852" max="4852" width="5.7109375" style="202" customWidth="1"/>
    <col min="4853" max="4853" width="11" style="202" customWidth="1"/>
    <col min="4854" max="4854" width="34.5703125" style="202" customWidth="1"/>
    <col min="4855" max="4856" width="17.5703125" style="202"/>
    <col min="4857" max="4857" width="5.140625" style="202" customWidth="1"/>
    <col min="4858" max="4858" width="10.42578125" style="202" customWidth="1"/>
    <col min="4859" max="4859" width="34.42578125" style="202" customWidth="1"/>
    <col min="4860" max="4860" width="17.5703125" style="202" hidden="1" customWidth="1"/>
    <col min="4861" max="4862" width="14.7109375" style="202" customWidth="1"/>
    <col min="4863" max="4863" width="17.5703125" style="202" hidden="1" customWidth="1"/>
    <col min="4864" max="4864" width="10.7109375" style="202" customWidth="1"/>
    <col min="4865" max="4865" width="14.7109375" style="202" customWidth="1"/>
    <col min="4866" max="4866" width="10.7109375" style="202" customWidth="1"/>
    <col min="4867" max="4867" width="14.7109375" style="202" customWidth="1"/>
    <col min="4868" max="4868" width="10.7109375" style="202" customWidth="1"/>
    <col min="4869" max="5107" width="46" style="202" customWidth="1"/>
    <col min="5108" max="5108" width="5.7109375" style="202" customWidth="1"/>
    <col min="5109" max="5109" width="11" style="202" customWidth="1"/>
    <col min="5110" max="5110" width="34.5703125" style="202" customWidth="1"/>
    <col min="5111" max="5112" width="17.5703125" style="202"/>
    <col min="5113" max="5113" width="5.140625" style="202" customWidth="1"/>
    <col min="5114" max="5114" width="10.42578125" style="202" customWidth="1"/>
    <col min="5115" max="5115" width="34.42578125" style="202" customWidth="1"/>
    <col min="5116" max="5116" width="17.5703125" style="202" hidden="1" customWidth="1"/>
    <col min="5117" max="5118" width="14.7109375" style="202" customWidth="1"/>
    <col min="5119" max="5119" width="17.5703125" style="202" hidden="1" customWidth="1"/>
    <col min="5120" max="5120" width="10.7109375" style="202" customWidth="1"/>
    <col min="5121" max="5121" width="14.7109375" style="202" customWidth="1"/>
    <col min="5122" max="5122" width="10.7109375" style="202" customWidth="1"/>
    <col min="5123" max="5123" width="14.7109375" style="202" customWidth="1"/>
    <col min="5124" max="5124" width="10.7109375" style="202" customWidth="1"/>
    <col min="5125" max="5363" width="46" style="202" customWidth="1"/>
    <col min="5364" max="5364" width="5.7109375" style="202" customWidth="1"/>
    <col min="5365" max="5365" width="11" style="202" customWidth="1"/>
    <col min="5366" max="5366" width="34.5703125" style="202" customWidth="1"/>
    <col min="5367" max="5368" width="17.5703125" style="202"/>
    <col min="5369" max="5369" width="5.140625" style="202" customWidth="1"/>
    <col min="5370" max="5370" width="10.42578125" style="202" customWidth="1"/>
    <col min="5371" max="5371" width="34.42578125" style="202" customWidth="1"/>
    <col min="5372" max="5372" width="17.5703125" style="202" hidden="1" customWidth="1"/>
    <col min="5373" max="5374" width="14.7109375" style="202" customWidth="1"/>
    <col min="5375" max="5375" width="17.5703125" style="202" hidden="1" customWidth="1"/>
    <col min="5376" max="5376" width="10.7109375" style="202" customWidth="1"/>
    <col min="5377" max="5377" width="14.7109375" style="202" customWidth="1"/>
    <col min="5378" max="5378" width="10.7109375" style="202" customWidth="1"/>
    <col min="5379" max="5379" width="14.7109375" style="202" customWidth="1"/>
    <col min="5380" max="5380" width="10.7109375" style="202" customWidth="1"/>
    <col min="5381" max="5619" width="46" style="202" customWidth="1"/>
    <col min="5620" max="5620" width="5.7109375" style="202" customWidth="1"/>
    <col min="5621" max="5621" width="11" style="202" customWidth="1"/>
    <col min="5622" max="5622" width="34.5703125" style="202" customWidth="1"/>
    <col min="5623" max="5624" width="17.5703125" style="202"/>
    <col min="5625" max="5625" width="5.140625" style="202" customWidth="1"/>
    <col min="5626" max="5626" width="10.42578125" style="202" customWidth="1"/>
    <col min="5627" max="5627" width="34.42578125" style="202" customWidth="1"/>
    <col min="5628" max="5628" width="17.5703125" style="202" hidden="1" customWidth="1"/>
    <col min="5629" max="5630" width="14.7109375" style="202" customWidth="1"/>
    <col min="5631" max="5631" width="17.5703125" style="202" hidden="1" customWidth="1"/>
    <col min="5632" max="5632" width="10.7109375" style="202" customWidth="1"/>
    <col min="5633" max="5633" width="14.7109375" style="202" customWidth="1"/>
    <col min="5634" max="5634" width="10.7109375" style="202" customWidth="1"/>
    <col min="5635" max="5635" width="14.7109375" style="202" customWidth="1"/>
    <col min="5636" max="5636" width="10.7109375" style="202" customWidth="1"/>
    <col min="5637" max="5875" width="46" style="202" customWidth="1"/>
    <col min="5876" max="5876" width="5.7109375" style="202" customWidth="1"/>
    <col min="5877" max="5877" width="11" style="202" customWidth="1"/>
    <col min="5878" max="5878" width="34.5703125" style="202" customWidth="1"/>
    <col min="5879" max="5880" width="17.5703125" style="202"/>
    <col min="5881" max="5881" width="5.140625" style="202" customWidth="1"/>
    <col min="5882" max="5882" width="10.42578125" style="202" customWidth="1"/>
    <col min="5883" max="5883" width="34.42578125" style="202" customWidth="1"/>
    <col min="5884" max="5884" width="17.5703125" style="202" hidden="1" customWidth="1"/>
    <col min="5885" max="5886" width="14.7109375" style="202" customWidth="1"/>
    <col min="5887" max="5887" width="17.5703125" style="202" hidden="1" customWidth="1"/>
    <col min="5888" max="5888" width="10.7109375" style="202" customWidth="1"/>
    <col min="5889" max="5889" width="14.7109375" style="202" customWidth="1"/>
    <col min="5890" max="5890" width="10.7109375" style="202" customWidth="1"/>
    <col min="5891" max="5891" width="14.7109375" style="202" customWidth="1"/>
    <col min="5892" max="5892" width="10.7109375" style="202" customWidth="1"/>
    <col min="5893" max="6131" width="46" style="202" customWidth="1"/>
    <col min="6132" max="6132" width="5.7109375" style="202" customWidth="1"/>
    <col min="6133" max="6133" width="11" style="202" customWidth="1"/>
    <col min="6134" max="6134" width="34.5703125" style="202" customWidth="1"/>
    <col min="6135" max="6136" width="17.5703125" style="202"/>
    <col min="6137" max="6137" width="5.140625" style="202" customWidth="1"/>
    <col min="6138" max="6138" width="10.42578125" style="202" customWidth="1"/>
    <col min="6139" max="6139" width="34.42578125" style="202" customWidth="1"/>
    <col min="6140" max="6140" width="17.5703125" style="202" hidden="1" customWidth="1"/>
    <col min="6141" max="6142" width="14.7109375" style="202" customWidth="1"/>
    <col min="6143" max="6143" width="17.5703125" style="202" hidden="1" customWidth="1"/>
    <col min="6144" max="6144" width="10.7109375" style="202" customWidth="1"/>
    <col min="6145" max="6145" width="14.7109375" style="202" customWidth="1"/>
    <col min="6146" max="6146" width="10.7109375" style="202" customWidth="1"/>
    <col min="6147" max="6147" width="14.7109375" style="202" customWidth="1"/>
    <col min="6148" max="6148" width="10.7109375" style="202" customWidth="1"/>
    <col min="6149" max="6387" width="46" style="202" customWidth="1"/>
    <col min="6388" max="6388" width="5.7109375" style="202" customWidth="1"/>
    <col min="6389" max="6389" width="11" style="202" customWidth="1"/>
    <col min="6390" max="6390" width="34.5703125" style="202" customWidth="1"/>
    <col min="6391" max="6392" width="17.5703125" style="202"/>
    <col min="6393" max="6393" width="5.140625" style="202" customWidth="1"/>
    <col min="6394" max="6394" width="10.42578125" style="202" customWidth="1"/>
    <col min="6395" max="6395" width="34.42578125" style="202" customWidth="1"/>
    <col min="6396" max="6396" width="17.5703125" style="202" hidden="1" customWidth="1"/>
    <col min="6397" max="6398" width="14.7109375" style="202" customWidth="1"/>
    <col min="6399" max="6399" width="17.5703125" style="202" hidden="1" customWidth="1"/>
    <col min="6400" max="6400" width="10.7109375" style="202" customWidth="1"/>
    <col min="6401" max="6401" width="14.7109375" style="202" customWidth="1"/>
    <col min="6402" max="6402" width="10.7109375" style="202" customWidth="1"/>
    <col min="6403" max="6403" width="14.7109375" style="202" customWidth="1"/>
    <col min="6404" max="6404" width="10.7109375" style="202" customWidth="1"/>
    <col min="6405" max="6643" width="46" style="202" customWidth="1"/>
    <col min="6644" max="6644" width="5.7109375" style="202" customWidth="1"/>
    <col min="6645" max="6645" width="11" style="202" customWidth="1"/>
    <col min="6646" max="6646" width="34.5703125" style="202" customWidth="1"/>
    <col min="6647" max="6648" width="17.5703125" style="202"/>
    <col min="6649" max="6649" width="5.140625" style="202" customWidth="1"/>
    <col min="6650" max="6650" width="10.42578125" style="202" customWidth="1"/>
    <col min="6651" max="6651" width="34.42578125" style="202" customWidth="1"/>
    <col min="6652" max="6652" width="17.5703125" style="202" hidden="1" customWidth="1"/>
    <col min="6653" max="6654" width="14.7109375" style="202" customWidth="1"/>
    <col min="6655" max="6655" width="17.5703125" style="202" hidden="1" customWidth="1"/>
    <col min="6656" max="6656" width="10.7109375" style="202" customWidth="1"/>
    <col min="6657" max="6657" width="14.7109375" style="202" customWidth="1"/>
    <col min="6658" max="6658" width="10.7109375" style="202" customWidth="1"/>
    <col min="6659" max="6659" width="14.7109375" style="202" customWidth="1"/>
    <col min="6660" max="6660" width="10.7109375" style="202" customWidth="1"/>
    <col min="6661" max="6899" width="46" style="202" customWidth="1"/>
    <col min="6900" max="6900" width="5.7109375" style="202" customWidth="1"/>
    <col min="6901" max="6901" width="11" style="202" customWidth="1"/>
    <col min="6902" max="6902" width="34.5703125" style="202" customWidth="1"/>
    <col min="6903" max="6904" width="17.5703125" style="202"/>
    <col min="6905" max="6905" width="5.140625" style="202" customWidth="1"/>
    <col min="6906" max="6906" width="10.42578125" style="202" customWidth="1"/>
    <col min="6907" max="6907" width="34.42578125" style="202" customWidth="1"/>
    <col min="6908" max="6908" width="17.5703125" style="202" hidden="1" customWidth="1"/>
    <col min="6909" max="6910" width="14.7109375" style="202" customWidth="1"/>
    <col min="6911" max="6911" width="17.5703125" style="202" hidden="1" customWidth="1"/>
    <col min="6912" max="6912" width="10.7109375" style="202" customWidth="1"/>
    <col min="6913" max="6913" width="14.7109375" style="202" customWidth="1"/>
    <col min="6914" max="6914" width="10.7109375" style="202" customWidth="1"/>
    <col min="6915" max="6915" width="14.7109375" style="202" customWidth="1"/>
    <col min="6916" max="6916" width="10.7109375" style="202" customWidth="1"/>
    <col min="6917" max="7155" width="46" style="202" customWidth="1"/>
    <col min="7156" max="7156" width="5.7109375" style="202" customWidth="1"/>
    <col min="7157" max="7157" width="11" style="202" customWidth="1"/>
    <col min="7158" max="7158" width="34.5703125" style="202" customWidth="1"/>
    <col min="7159" max="7160" width="17.5703125" style="202"/>
    <col min="7161" max="7161" width="5.140625" style="202" customWidth="1"/>
    <col min="7162" max="7162" width="10.42578125" style="202" customWidth="1"/>
    <col min="7163" max="7163" width="34.42578125" style="202" customWidth="1"/>
    <col min="7164" max="7164" width="17.5703125" style="202" hidden="1" customWidth="1"/>
    <col min="7165" max="7166" width="14.7109375" style="202" customWidth="1"/>
    <col min="7167" max="7167" width="17.5703125" style="202" hidden="1" customWidth="1"/>
    <col min="7168" max="7168" width="10.7109375" style="202" customWidth="1"/>
    <col min="7169" max="7169" width="14.7109375" style="202" customWidth="1"/>
    <col min="7170" max="7170" width="10.7109375" style="202" customWidth="1"/>
    <col min="7171" max="7171" width="14.7109375" style="202" customWidth="1"/>
    <col min="7172" max="7172" width="10.7109375" style="202" customWidth="1"/>
    <col min="7173" max="7411" width="46" style="202" customWidth="1"/>
    <col min="7412" max="7412" width="5.7109375" style="202" customWidth="1"/>
    <col min="7413" max="7413" width="11" style="202" customWidth="1"/>
    <col min="7414" max="7414" width="34.5703125" style="202" customWidth="1"/>
    <col min="7415" max="7416" width="17.5703125" style="202"/>
    <col min="7417" max="7417" width="5.140625" style="202" customWidth="1"/>
    <col min="7418" max="7418" width="10.42578125" style="202" customWidth="1"/>
    <col min="7419" max="7419" width="34.42578125" style="202" customWidth="1"/>
    <col min="7420" max="7420" width="17.5703125" style="202" hidden="1" customWidth="1"/>
    <col min="7421" max="7422" width="14.7109375" style="202" customWidth="1"/>
    <col min="7423" max="7423" width="17.5703125" style="202" hidden="1" customWidth="1"/>
    <col min="7424" max="7424" width="10.7109375" style="202" customWidth="1"/>
    <col min="7425" max="7425" width="14.7109375" style="202" customWidth="1"/>
    <col min="7426" max="7426" width="10.7109375" style="202" customWidth="1"/>
    <col min="7427" max="7427" width="14.7109375" style="202" customWidth="1"/>
    <col min="7428" max="7428" width="10.7109375" style="202" customWidth="1"/>
    <col min="7429" max="7667" width="46" style="202" customWidth="1"/>
    <col min="7668" max="7668" width="5.7109375" style="202" customWidth="1"/>
    <col min="7669" max="7669" width="11" style="202" customWidth="1"/>
    <col min="7670" max="7670" width="34.5703125" style="202" customWidth="1"/>
    <col min="7671" max="7672" width="17.5703125" style="202"/>
    <col min="7673" max="7673" width="5.140625" style="202" customWidth="1"/>
    <col min="7674" max="7674" width="10.42578125" style="202" customWidth="1"/>
    <col min="7675" max="7675" width="34.42578125" style="202" customWidth="1"/>
    <col min="7676" max="7676" width="17.5703125" style="202" hidden="1" customWidth="1"/>
    <col min="7677" max="7678" width="14.7109375" style="202" customWidth="1"/>
    <col min="7679" max="7679" width="17.5703125" style="202" hidden="1" customWidth="1"/>
    <col min="7680" max="7680" width="10.7109375" style="202" customWidth="1"/>
    <col min="7681" max="7681" width="14.7109375" style="202" customWidth="1"/>
    <col min="7682" max="7682" width="10.7109375" style="202" customWidth="1"/>
    <col min="7683" max="7683" width="14.7109375" style="202" customWidth="1"/>
    <col min="7684" max="7684" width="10.7109375" style="202" customWidth="1"/>
    <col min="7685" max="7923" width="46" style="202" customWidth="1"/>
    <col min="7924" max="7924" width="5.7109375" style="202" customWidth="1"/>
    <col min="7925" max="7925" width="11" style="202" customWidth="1"/>
    <col min="7926" max="7926" width="34.5703125" style="202" customWidth="1"/>
    <col min="7927" max="7928" width="17.5703125" style="202"/>
    <col min="7929" max="7929" width="5.140625" style="202" customWidth="1"/>
    <col min="7930" max="7930" width="10.42578125" style="202" customWidth="1"/>
    <col min="7931" max="7931" width="34.42578125" style="202" customWidth="1"/>
    <col min="7932" max="7932" width="17.5703125" style="202" hidden="1" customWidth="1"/>
    <col min="7933" max="7934" width="14.7109375" style="202" customWidth="1"/>
    <col min="7935" max="7935" width="17.5703125" style="202" hidden="1" customWidth="1"/>
    <col min="7936" max="7936" width="10.7109375" style="202" customWidth="1"/>
    <col min="7937" max="7937" width="14.7109375" style="202" customWidth="1"/>
    <col min="7938" max="7938" width="10.7109375" style="202" customWidth="1"/>
    <col min="7939" max="7939" width="14.7109375" style="202" customWidth="1"/>
    <col min="7940" max="7940" width="10.7109375" style="202" customWidth="1"/>
    <col min="7941" max="8179" width="46" style="202" customWidth="1"/>
    <col min="8180" max="8180" width="5.7109375" style="202" customWidth="1"/>
    <col min="8181" max="8181" width="11" style="202" customWidth="1"/>
    <col min="8182" max="8182" width="34.5703125" style="202" customWidth="1"/>
    <col min="8183" max="8184" width="17.5703125" style="202"/>
    <col min="8185" max="8185" width="5.140625" style="202" customWidth="1"/>
    <col min="8186" max="8186" width="10.42578125" style="202" customWidth="1"/>
    <col min="8187" max="8187" width="34.42578125" style="202" customWidth="1"/>
    <col min="8188" max="8188" width="17.5703125" style="202" hidden="1" customWidth="1"/>
    <col min="8189" max="8190" width="14.7109375" style="202" customWidth="1"/>
    <col min="8191" max="8191" width="17.5703125" style="202" hidden="1" customWidth="1"/>
    <col min="8192" max="8192" width="10.7109375" style="202" customWidth="1"/>
    <col min="8193" max="8193" width="14.7109375" style="202" customWidth="1"/>
    <col min="8194" max="8194" width="10.7109375" style="202" customWidth="1"/>
    <col min="8195" max="8195" width="14.7109375" style="202" customWidth="1"/>
    <col min="8196" max="8196" width="10.7109375" style="202" customWidth="1"/>
    <col min="8197" max="8435" width="46" style="202" customWidth="1"/>
    <col min="8436" max="8436" width="5.7109375" style="202" customWidth="1"/>
    <col min="8437" max="8437" width="11" style="202" customWidth="1"/>
    <col min="8438" max="8438" width="34.5703125" style="202" customWidth="1"/>
    <col min="8439" max="8440" width="17.5703125" style="202"/>
    <col min="8441" max="8441" width="5.140625" style="202" customWidth="1"/>
    <col min="8442" max="8442" width="10.42578125" style="202" customWidth="1"/>
    <col min="8443" max="8443" width="34.42578125" style="202" customWidth="1"/>
    <col min="8444" max="8444" width="17.5703125" style="202" hidden="1" customWidth="1"/>
    <col min="8445" max="8446" width="14.7109375" style="202" customWidth="1"/>
    <col min="8447" max="8447" width="17.5703125" style="202" hidden="1" customWidth="1"/>
    <col min="8448" max="8448" width="10.7109375" style="202" customWidth="1"/>
    <col min="8449" max="8449" width="14.7109375" style="202" customWidth="1"/>
    <col min="8450" max="8450" width="10.7109375" style="202" customWidth="1"/>
    <col min="8451" max="8451" width="14.7109375" style="202" customWidth="1"/>
    <col min="8452" max="8452" width="10.7109375" style="202" customWidth="1"/>
    <col min="8453" max="8691" width="46" style="202" customWidth="1"/>
    <col min="8692" max="8692" width="5.7109375" style="202" customWidth="1"/>
    <col min="8693" max="8693" width="11" style="202" customWidth="1"/>
    <col min="8694" max="8694" width="34.5703125" style="202" customWidth="1"/>
    <col min="8695" max="8696" width="17.5703125" style="202"/>
    <col min="8697" max="8697" width="5.140625" style="202" customWidth="1"/>
    <col min="8698" max="8698" width="10.42578125" style="202" customWidth="1"/>
    <col min="8699" max="8699" width="34.42578125" style="202" customWidth="1"/>
    <col min="8700" max="8700" width="17.5703125" style="202" hidden="1" customWidth="1"/>
    <col min="8701" max="8702" width="14.7109375" style="202" customWidth="1"/>
    <col min="8703" max="8703" width="17.5703125" style="202" hidden="1" customWidth="1"/>
    <col min="8704" max="8704" width="10.7109375" style="202" customWidth="1"/>
    <col min="8705" max="8705" width="14.7109375" style="202" customWidth="1"/>
    <col min="8706" max="8706" width="10.7109375" style="202" customWidth="1"/>
    <col min="8707" max="8707" width="14.7109375" style="202" customWidth="1"/>
    <col min="8708" max="8708" width="10.7109375" style="202" customWidth="1"/>
    <col min="8709" max="8947" width="46" style="202" customWidth="1"/>
    <col min="8948" max="8948" width="5.7109375" style="202" customWidth="1"/>
    <col min="8949" max="8949" width="11" style="202" customWidth="1"/>
    <col min="8950" max="8950" width="34.5703125" style="202" customWidth="1"/>
    <col min="8951" max="8952" width="17.5703125" style="202"/>
    <col min="8953" max="8953" width="5.140625" style="202" customWidth="1"/>
    <col min="8954" max="8954" width="10.42578125" style="202" customWidth="1"/>
    <col min="8955" max="8955" width="34.42578125" style="202" customWidth="1"/>
    <col min="8956" max="8956" width="17.5703125" style="202" hidden="1" customWidth="1"/>
    <col min="8957" max="8958" width="14.7109375" style="202" customWidth="1"/>
    <col min="8959" max="8959" width="17.5703125" style="202" hidden="1" customWidth="1"/>
    <col min="8960" max="8960" width="10.7109375" style="202" customWidth="1"/>
    <col min="8961" max="8961" width="14.7109375" style="202" customWidth="1"/>
    <col min="8962" max="8962" width="10.7109375" style="202" customWidth="1"/>
    <col min="8963" max="8963" width="14.7109375" style="202" customWidth="1"/>
    <col min="8964" max="8964" width="10.7109375" style="202" customWidth="1"/>
    <col min="8965" max="9203" width="46" style="202" customWidth="1"/>
    <col min="9204" max="9204" width="5.7109375" style="202" customWidth="1"/>
    <col min="9205" max="9205" width="11" style="202" customWidth="1"/>
    <col min="9206" max="9206" width="34.5703125" style="202" customWidth="1"/>
    <col min="9207" max="9208" width="17.5703125" style="202"/>
    <col min="9209" max="9209" width="5.140625" style="202" customWidth="1"/>
    <col min="9210" max="9210" width="10.42578125" style="202" customWidth="1"/>
    <col min="9211" max="9211" width="34.42578125" style="202" customWidth="1"/>
    <col min="9212" max="9212" width="17.5703125" style="202" hidden="1" customWidth="1"/>
    <col min="9213" max="9214" width="14.7109375" style="202" customWidth="1"/>
    <col min="9215" max="9215" width="17.5703125" style="202" hidden="1" customWidth="1"/>
    <col min="9216" max="9216" width="10.7109375" style="202" customWidth="1"/>
    <col min="9217" max="9217" width="14.7109375" style="202" customWidth="1"/>
    <col min="9218" max="9218" width="10.7109375" style="202" customWidth="1"/>
    <col min="9219" max="9219" width="14.7109375" style="202" customWidth="1"/>
    <col min="9220" max="9220" width="10.7109375" style="202" customWidth="1"/>
    <col min="9221" max="9459" width="46" style="202" customWidth="1"/>
    <col min="9460" max="9460" width="5.7109375" style="202" customWidth="1"/>
    <col min="9461" max="9461" width="11" style="202" customWidth="1"/>
    <col min="9462" max="9462" width="34.5703125" style="202" customWidth="1"/>
    <col min="9463" max="9464" width="17.5703125" style="202"/>
    <col min="9465" max="9465" width="5.140625" style="202" customWidth="1"/>
    <col min="9466" max="9466" width="10.42578125" style="202" customWidth="1"/>
    <col min="9467" max="9467" width="34.42578125" style="202" customWidth="1"/>
    <col min="9468" max="9468" width="17.5703125" style="202" hidden="1" customWidth="1"/>
    <col min="9469" max="9470" width="14.7109375" style="202" customWidth="1"/>
    <col min="9471" max="9471" width="17.5703125" style="202" hidden="1" customWidth="1"/>
    <col min="9472" max="9472" width="10.7109375" style="202" customWidth="1"/>
    <col min="9473" max="9473" width="14.7109375" style="202" customWidth="1"/>
    <col min="9474" max="9474" width="10.7109375" style="202" customWidth="1"/>
    <col min="9475" max="9475" width="14.7109375" style="202" customWidth="1"/>
    <col min="9476" max="9476" width="10.7109375" style="202" customWidth="1"/>
    <col min="9477" max="9715" width="46" style="202" customWidth="1"/>
    <col min="9716" max="9716" width="5.7109375" style="202" customWidth="1"/>
    <col min="9717" max="9717" width="11" style="202" customWidth="1"/>
    <col min="9718" max="9718" width="34.5703125" style="202" customWidth="1"/>
    <col min="9719" max="9720" width="17.5703125" style="202"/>
    <col min="9721" max="9721" width="5.140625" style="202" customWidth="1"/>
    <col min="9722" max="9722" width="10.42578125" style="202" customWidth="1"/>
    <col min="9723" max="9723" width="34.42578125" style="202" customWidth="1"/>
    <col min="9724" max="9724" width="17.5703125" style="202" hidden="1" customWidth="1"/>
    <col min="9725" max="9726" width="14.7109375" style="202" customWidth="1"/>
    <col min="9727" max="9727" width="17.5703125" style="202" hidden="1" customWidth="1"/>
    <col min="9728" max="9728" width="10.7109375" style="202" customWidth="1"/>
    <col min="9729" max="9729" width="14.7109375" style="202" customWidth="1"/>
    <col min="9730" max="9730" width="10.7109375" style="202" customWidth="1"/>
    <col min="9731" max="9731" width="14.7109375" style="202" customWidth="1"/>
    <col min="9732" max="9732" width="10.7109375" style="202" customWidth="1"/>
    <col min="9733" max="9971" width="46" style="202" customWidth="1"/>
    <col min="9972" max="9972" width="5.7109375" style="202" customWidth="1"/>
    <col min="9973" max="9973" width="11" style="202" customWidth="1"/>
    <col min="9974" max="9974" width="34.5703125" style="202" customWidth="1"/>
    <col min="9975" max="9976" width="17.5703125" style="202"/>
    <col min="9977" max="9977" width="5.140625" style="202" customWidth="1"/>
    <col min="9978" max="9978" width="10.42578125" style="202" customWidth="1"/>
    <col min="9979" max="9979" width="34.42578125" style="202" customWidth="1"/>
    <col min="9980" max="9980" width="17.5703125" style="202" hidden="1" customWidth="1"/>
    <col min="9981" max="9982" width="14.7109375" style="202" customWidth="1"/>
    <col min="9983" max="9983" width="17.5703125" style="202" hidden="1" customWidth="1"/>
    <col min="9984" max="9984" width="10.7109375" style="202" customWidth="1"/>
    <col min="9985" max="9985" width="14.7109375" style="202" customWidth="1"/>
    <col min="9986" max="9986" width="10.7109375" style="202" customWidth="1"/>
    <col min="9987" max="9987" width="14.7109375" style="202" customWidth="1"/>
    <col min="9988" max="9988" width="10.7109375" style="202" customWidth="1"/>
    <col min="9989" max="10227" width="46" style="202" customWidth="1"/>
    <col min="10228" max="10228" width="5.7109375" style="202" customWidth="1"/>
    <col min="10229" max="10229" width="11" style="202" customWidth="1"/>
    <col min="10230" max="10230" width="34.5703125" style="202" customWidth="1"/>
    <col min="10231" max="10232" width="17.5703125" style="202"/>
    <col min="10233" max="10233" width="5.140625" style="202" customWidth="1"/>
    <col min="10234" max="10234" width="10.42578125" style="202" customWidth="1"/>
    <col min="10235" max="10235" width="34.42578125" style="202" customWidth="1"/>
    <col min="10236" max="10236" width="17.5703125" style="202" hidden="1" customWidth="1"/>
    <col min="10237" max="10238" width="14.7109375" style="202" customWidth="1"/>
    <col min="10239" max="10239" width="17.5703125" style="202" hidden="1" customWidth="1"/>
    <col min="10240" max="10240" width="10.7109375" style="202" customWidth="1"/>
    <col min="10241" max="10241" width="14.7109375" style="202" customWidth="1"/>
    <col min="10242" max="10242" width="10.7109375" style="202" customWidth="1"/>
    <col min="10243" max="10243" width="14.7109375" style="202" customWidth="1"/>
    <col min="10244" max="10244" width="10.7109375" style="202" customWidth="1"/>
    <col min="10245" max="10483" width="46" style="202" customWidth="1"/>
    <col min="10484" max="10484" width="5.7109375" style="202" customWidth="1"/>
    <col min="10485" max="10485" width="11" style="202" customWidth="1"/>
    <col min="10486" max="10486" width="34.5703125" style="202" customWidth="1"/>
    <col min="10487" max="10488" width="17.5703125" style="202"/>
    <col min="10489" max="10489" width="5.140625" style="202" customWidth="1"/>
    <col min="10490" max="10490" width="10.42578125" style="202" customWidth="1"/>
    <col min="10491" max="10491" width="34.42578125" style="202" customWidth="1"/>
    <col min="10492" max="10492" width="17.5703125" style="202" hidden="1" customWidth="1"/>
    <col min="10493" max="10494" width="14.7109375" style="202" customWidth="1"/>
    <col min="10495" max="10495" width="17.5703125" style="202" hidden="1" customWidth="1"/>
    <col min="10496" max="10496" width="10.7109375" style="202" customWidth="1"/>
    <col min="10497" max="10497" width="14.7109375" style="202" customWidth="1"/>
    <col min="10498" max="10498" width="10.7109375" style="202" customWidth="1"/>
    <col min="10499" max="10499" width="14.7109375" style="202" customWidth="1"/>
    <col min="10500" max="10500" width="10.7109375" style="202" customWidth="1"/>
    <col min="10501" max="10739" width="46" style="202" customWidth="1"/>
    <col min="10740" max="10740" width="5.7109375" style="202" customWidth="1"/>
    <col min="10741" max="10741" width="11" style="202" customWidth="1"/>
    <col min="10742" max="10742" width="34.5703125" style="202" customWidth="1"/>
    <col min="10743" max="10744" width="17.5703125" style="202"/>
    <col min="10745" max="10745" width="5.140625" style="202" customWidth="1"/>
    <col min="10746" max="10746" width="10.42578125" style="202" customWidth="1"/>
    <col min="10747" max="10747" width="34.42578125" style="202" customWidth="1"/>
    <col min="10748" max="10748" width="17.5703125" style="202" hidden="1" customWidth="1"/>
    <col min="10749" max="10750" width="14.7109375" style="202" customWidth="1"/>
    <col min="10751" max="10751" width="17.5703125" style="202" hidden="1" customWidth="1"/>
    <col min="10752" max="10752" width="10.7109375" style="202" customWidth="1"/>
    <col min="10753" max="10753" width="14.7109375" style="202" customWidth="1"/>
    <col min="10754" max="10754" width="10.7109375" style="202" customWidth="1"/>
    <col min="10755" max="10755" width="14.7109375" style="202" customWidth="1"/>
    <col min="10756" max="10756" width="10.7109375" style="202" customWidth="1"/>
    <col min="10757" max="10995" width="46" style="202" customWidth="1"/>
    <col min="10996" max="10996" width="5.7109375" style="202" customWidth="1"/>
    <col min="10997" max="10997" width="11" style="202" customWidth="1"/>
    <col min="10998" max="10998" width="34.5703125" style="202" customWidth="1"/>
    <col min="10999" max="11000" width="17.5703125" style="202"/>
    <col min="11001" max="11001" width="5.140625" style="202" customWidth="1"/>
    <col min="11002" max="11002" width="10.42578125" style="202" customWidth="1"/>
    <col min="11003" max="11003" width="34.42578125" style="202" customWidth="1"/>
    <col min="11004" max="11004" width="17.5703125" style="202" hidden="1" customWidth="1"/>
    <col min="11005" max="11006" width="14.7109375" style="202" customWidth="1"/>
    <col min="11007" max="11007" width="17.5703125" style="202" hidden="1" customWidth="1"/>
    <col min="11008" max="11008" width="10.7109375" style="202" customWidth="1"/>
    <col min="11009" max="11009" width="14.7109375" style="202" customWidth="1"/>
    <col min="11010" max="11010" width="10.7109375" style="202" customWidth="1"/>
    <col min="11011" max="11011" width="14.7109375" style="202" customWidth="1"/>
    <col min="11012" max="11012" width="10.7109375" style="202" customWidth="1"/>
    <col min="11013" max="11251" width="46" style="202" customWidth="1"/>
    <col min="11252" max="11252" width="5.7109375" style="202" customWidth="1"/>
    <col min="11253" max="11253" width="11" style="202" customWidth="1"/>
    <col min="11254" max="11254" width="34.5703125" style="202" customWidth="1"/>
    <col min="11255" max="11256" width="17.5703125" style="202"/>
    <col min="11257" max="11257" width="5.140625" style="202" customWidth="1"/>
    <col min="11258" max="11258" width="10.42578125" style="202" customWidth="1"/>
    <col min="11259" max="11259" width="34.42578125" style="202" customWidth="1"/>
    <col min="11260" max="11260" width="17.5703125" style="202" hidden="1" customWidth="1"/>
    <col min="11261" max="11262" width="14.7109375" style="202" customWidth="1"/>
    <col min="11263" max="11263" width="17.5703125" style="202" hidden="1" customWidth="1"/>
    <col min="11264" max="11264" width="10.7109375" style="202" customWidth="1"/>
    <col min="11265" max="11265" width="14.7109375" style="202" customWidth="1"/>
    <col min="11266" max="11266" width="10.7109375" style="202" customWidth="1"/>
    <col min="11267" max="11267" width="14.7109375" style="202" customWidth="1"/>
    <col min="11268" max="11268" width="10.7109375" style="202" customWidth="1"/>
    <col min="11269" max="11507" width="46" style="202" customWidth="1"/>
    <col min="11508" max="11508" width="5.7109375" style="202" customWidth="1"/>
    <col min="11509" max="11509" width="11" style="202" customWidth="1"/>
    <col min="11510" max="11510" width="34.5703125" style="202" customWidth="1"/>
    <col min="11511" max="11512" width="17.5703125" style="202"/>
    <col min="11513" max="11513" width="5.140625" style="202" customWidth="1"/>
    <col min="11514" max="11514" width="10.42578125" style="202" customWidth="1"/>
    <col min="11515" max="11515" width="34.42578125" style="202" customWidth="1"/>
    <col min="11516" max="11516" width="17.5703125" style="202" hidden="1" customWidth="1"/>
    <col min="11517" max="11518" width="14.7109375" style="202" customWidth="1"/>
    <col min="11519" max="11519" width="17.5703125" style="202" hidden="1" customWidth="1"/>
    <col min="11520" max="11520" width="10.7109375" style="202" customWidth="1"/>
    <col min="11521" max="11521" width="14.7109375" style="202" customWidth="1"/>
    <col min="11522" max="11522" width="10.7109375" style="202" customWidth="1"/>
    <col min="11523" max="11523" width="14.7109375" style="202" customWidth="1"/>
    <col min="11524" max="11524" width="10.7109375" style="202" customWidth="1"/>
    <col min="11525" max="11763" width="46" style="202" customWidth="1"/>
    <col min="11764" max="11764" width="5.7109375" style="202" customWidth="1"/>
    <col min="11765" max="11765" width="11" style="202" customWidth="1"/>
    <col min="11766" max="11766" width="34.5703125" style="202" customWidth="1"/>
    <col min="11767" max="11768" width="17.5703125" style="202"/>
    <col min="11769" max="11769" width="5.140625" style="202" customWidth="1"/>
    <col min="11770" max="11770" width="10.42578125" style="202" customWidth="1"/>
    <col min="11771" max="11771" width="34.42578125" style="202" customWidth="1"/>
    <col min="11772" max="11772" width="17.5703125" style="202" hidden="1" customWidth="1"/>
    <col min="11773" max="11774" width="14.7109375" style="202" customWidth="1"/>
    <col min="11775" max="11775" width="17.5703125" style="202" hidden="1" customWidth="1"/>
    <col min="11776" max="11776" width="10.7109375" style="202" customWidth="1"/>
    <col min="11777" max="11777" width="14.7109375" style="202" customWidth="1"/>
    <col min="11778" max="11778" width="10.7109375" style="202" customWidth="1"/>
    <col min="11779" max="11779" width="14.7109375" style="202" customWidth="1"/>
    <col min="11780" max="11780" width="10.7109375" style="202" customWidth="1"/>
    <col min="11781" max="12019" width="46" style="202" customWidth="1"/>
    <col min="12020" max="12020" width="5.7109375" style="202" customWidth="1"/>
    <col min="12021" max="12021" width="11" style="202" customWidth="1"/>
    <col min="12022" max="12022" width="34.5703125" style="202" customWidth="1"/>
    <col min="12023" max="12024" width="17.5703125" style="202"/>
    <col min="12025" max="12025" width="5.140625" style="202" customWidth="1"/>
    <col min="12026" max="12026" width="10.42578125" style="202" customWidth="1"/>
    <col min="12027" max="12027" width="34.42578125" style="202" customWidth="1"/>
    <col min="12028" max="12028" width="17.5703125" style="202" hidden="1" customWidth="1"/>
    <col min="12029" max="12030" width="14.7109375" style="202" customWidth="1"/>
    <col min="12031" max="12031" width="17.5703125" style="202" hidden="1" customWidth="1"/>
    <col min="12032" max="12032" width="10.7109375" style="202" customWidth="1"/>
    <col min="12033" max="12033" width="14.7109375" style="202" customWidth="1"/>
    <col min="12034" max="12034" width="10.7109375" style="202" customWidth="1"/>
    <col min="12035" max="12035" width="14.7109375" style="202" customWidth="1"/>
    <col min="12036" max="12036" width="10.7109375" style="202" customWidth="1"/>
    <col min="12037" max="12275" width="46" style="202" customWidth="1"/>
    <col min="12276" max="12276" width="5.7109375" style="202" customWidth="1"/>
    <col min="12277" max="12277" width="11" style="202" customWidth="1"/>
    <col min="12278" max="12278" width="34.5703125" style="202" customWidth="1"/>
    <col min="12279" max="12280" width="17.5703125" style="202"/>
    <col min="12281" max="12281" width="5.140625" style="202" customWidth="1"/>
    <col min="12282" max="12282" width="10.42578125" style="202" customWidth="1"/>
    <col min="12283" max="12283" width="34.42578125" style="202" customWidth="1"/>
    <col min="12284" max="12284" width="17.5703125" style="202" hidden="1" customWidth="1"/>
    <col min="12285" max="12286" width="14.7109375" style="202" customWidth="1"/>
    <col min="12287" max="12287" width="17.5703125" style="202" hidden="1" customWidth="1"/>
    <col min="12288" max="12288" width="10.7109375" style="202" customWidth="1"/>
    <col min="12289" max="12289" width="14.7109375" style="202" customWidth="1"/>
    <col min="12290" max="12290" width="10.7109375" style="202" customWidth="1"/>
    <col min="12291" max="12291" width="14.7109375" style="202" customWidth="1"/>
    <col min="12292" max="12292" width="10.7109375" style="202" customWidth="1"/>
    <col min="12293" max="12531" width="46" style="202" customWidth="1"/>
    <col min="12532" max="12532" width="5.7109375" style="202" customWidth="1"/>
    <col min="12533" max="12533" width="11" style="202" customWidth="1"/>
    <col min="12534" max="12534" width="34.5703125" style="202" customWidth="1"/>
    <col min="12535" max="12536" width="17.5703125" style="202"/>
    <col min="12537" max="12537" width="5.140625" style="202" customWidth="1"/>
    <col min="12538" max="12538" width="10.42578125" style="202" customWidth="1"/>
    <col min="12539" max="12539" width="34.42578125" style="202" customWidth="1"/>
    <col min="12540" max="12540" width="17.5703125" style="202" hidden="1" customWidth="1"/>
    <col min="12541" max="12542" width="14.7109375" style="202" customWidth="1"/>
    <col min="12543" max="12543" width="17.5703125" style="202" hidden="1" customWidth="1"/>
    <col min="12544" max="12544" width="10.7109375" style="202" customWidth="1"/>
    <col min="12545" max="12545" width="14.7109375" style="202" customWidth="1"/>
    <col min="12546" max="12546" width="10.7109375" style="202" customWidth="1"/>
    <col min="12547" max="12547" width="14.7109375" style="202" customWidth="1"/>
    <col min="12548" max="12548" width="10.7109375" style="202" customWidth="1"/>
    <col min="12549" max="12787" width="46" style="202" customWidth="1"/>
    <col min="12788" max="12788" width="5.7109375" style="202" customWidth="1"/>
    <col min="12789" max="12789" width="11" style="202" customWidth="1"/>
    <col min="12790" max="12790" width="34.5703125" style="202" customWidth="1"/>
    <col min="12791" max="12792" width="17.5703125" style="202"/>
    <col min="12793" max="12793" width="5.140625" style="202" customWidth="1"/>
    <col min="12794" max="12794" width="10.42578125" style="202" customWidth="1"/>
    <col min="12795" max="12795" width="34.42578125" style="202" customWidth="1"/>
    <col min="12796" max="12796" width="17.5703125" style="202" hidden="1" customWidth="1"/>
    <col min="12797" max="12798" width="14.7109375" style="202" customWidth="1"/>
    <col min="12799" max="12799" width="17.5703125" style="202" hidden="1" customWidth="1"/>
    <col min="12800" max="12800" width="10.7109375" style="202" customWidth="1"/>
    <col min="12801" max="12801" width="14.7109375" style="202" customWidth="1"/>
    <col min="12802" max="12802" width="10.7109375" style="202" customWidth="1"/>
    <col min="12803" max="12803" width="14.7109375" style="202" customWidth="1"/>
    <col min="12804" max="12804" width="10.7109375" style="202" customWidth="1"/>
    <col min="12805" max="13043" width="46" style="202" customWidth="1"/>
    <col min="13044" max="13044" width="5.7109375" style="202" customWidth="1"/>
    <col min="13045" max="13045" width="11" style="202" customWidth="1"/>
    <col min="13046" max="13046" width="34.5703125" style="202" customWidth="1"/>
    <col min="13047" max="13048" width="17.5703125" style="202"/>
    <col min="13049" max="13049" width="5.140625" style="202" customWidth="1"/>
    <col min="13050" max="13050" width="10.42578125" style="202" customWidth="1"/>
    <col min="13051" max="13051" width="34.42578125" style="202" customWidth="1"/>
    <col min="13052" max="13052" width="17.5703125" style="202" hidden="1" customWidth="1"/>
    <col min="13053" max="13054" width="14.7109375" style="202" customWidth="1"/>
    <col min="13055" max="13055" width="17.5703125" style="202" hidden="1" customWidth="1"/>
    <col min="13056" max="13056" width="10.7109375" style="202" customWidth="1"/>
    <col min="13057" max="13057" width="14.7109375" style="202" customWidth="1"/>
    <col min="13058" max="13058" width="10.7109375" style="202" customWidth="1"/>
    <col min="13059" max="13059" width="14.7109375" style="202" customWidth="1"/>
    <col min="13060" max="13060" width="10.7109375" style="202" customWidth="1"/>
    <col min="13061" max="13299" width="46" style="202" customWidth="1"/>
    <col min="13300" max="13300" width="5.7109375" style="202" customWidth="1"/>
    <col min="13301" max="13301" width="11" style="202" customWidth="1"/>
    <col min="13302" max="13302" width="34.5703125" style="202" customWidth="1"/>
    <col min="13303" max="13304" width="17.5703125" style="202"/>
    <col min="13305" max="13305" width="5.140625" style="202" customWidth="1"/>
    <col min="13306" max="13306" width="10.42578125" style="202" customWidth="1"/>
    <col min="13307" max="13307" width="34.42578125" style="202" customWidth="1"/>
    <col min="13308" max="13308" width="17.5703125" style="202" hidden="1" customWidth="1"/>
    <col min="13309" max="13310" width="14.7109375" style="202" customWidth="1"/>
    <col min="13311" max="13311" width="17.5703125" style="202" hidden="1" customWidth="1"/>
    <col min="13312" max="13312" width="10.7109375" style="202" customWidth="1"/>
    <col min="13313" max="13313" width="14.7109375" style="202" customWidth="1"/>
    <col min="13314" max="13314" width="10.7109375" style="202" customWidth="1"/>
    <col min="13315" max="13315" width="14.7109375" style="202" customWidth="1"/>
    <col min="13316" max="13316" width="10.7109375" style="202" customWidth="1"/>
    <col min="13317" max="13555" width="46" style="202" customWidth="1"/>
    <col min="13556" max="13556" width="5.7109375" style="202" customWidth="1"/>
    <col min="13557" max="13557" width="11" style="202" customWidth="1"/>
    <col min="13558" max="13558" width="34.5703125" style="202" customWidth="1"/>
    <col min="13559" max="13560" width="17.5703125" style="202"/>
    <col min="13561" max="13561" width="5.140625" style="202" customWidth="1"/>
    <col min="13562" max="13562" width="10.42578125" style="202" customWidth="1"/>
    <col min="13563" max="13563" width="34.42578125" style="202" customWidth="1"/>
    <col min="13564" max="13564" width="17.5703125" style="202" hidden="1" customWidth="1"/>
    <col min="13565" max="13566" width="14.7109375" style="202" customWidth="1"/>
    <col min="13567" max="13567" width="17.5703125" style="202" hidden="1" customWidth="1"/>
    <col min="13568" max="13568" width="10.7109375" style="202" customWidth="1"/>
    <col min="13569" max="13569" width="14.7109375" style="202" customWidth="1"/>
    <col min="13570" max="13570" width="10.7109375" style="202" customWidth="1"/>
    <col min="13571" max="13571" width="14.7109375" style="202" customWidth="1"/>
    <col min="13572" max="13572" width="10.7109375" style="202" customWidth="1"/>
    <col min="13573" max="13811" width="46" style="202" customWidth="1"/>
    <col min="13812" max="13812" width="5.7109375" style="202" customWidth="1"/>
    <col min="13813" max="13813" width="11" style="202" customWidth="1"/>
    <col min="13814" max="13814" width="34.5703125" style="202" customWidth="1"/>
    <col min="13815" max="13816" width="17.5703125" style="202"/>
    <col min="13817" max="13817" width="5.140625" style="202" customWidth="1"/>
    <col min="13818" max="13818" width="10.42578125" style="202" customWidth="1"/>
    <col min="13819" max="13819" width="34.42578125" style="202" customWidth="1"/>
    <col min="13820" max="13820" width="17.5703125" style="202" hidden="1" customWidth="1"/>
    <col min="13821" max="13822" width="14.7109375" style="202" customWidth="1"/>
    <col min="13823" max="13823" width="17.5703125" style="202" hidden="1" customWidth="1"/>
    <col min="13824" max="13824" width="10.7109375" style="202" customWidth="1"/>
    <col min="13825" max="13825" width="14.7109375" style="202" customWidth="1"/>
    <col min="13826" max="13826" width="10.7109375" style="202" customWidth="1"/>
    <col min="13827" max="13827" width="14.7109375" style="202" customWidth="1"/>
    <col min="13828" max="13828" width="10.7109375" style="202" customWidth="1"/>
    <col min="13829" max="14067" width="46" style="202" customWidth="1"/>
    <col min="14068" max="14068" width="5.7109375" style="202" customWidth="1"/>
    <col min="14069" max="14069" width="11" style="202" customWidth="1"/>
    <col min="14070" max="14070" width="34.5703125" style="202" customWidth="1"/>
    <col min="14071" max="14072" width="17.5703125" style="202"/>
    <col min="14073" max="14073" width="5.140625" style="202" customWidth="1"/>
    <col min="14074" max="14074" width="10.42578125" style="202" customWidth="1"/>
    <col min="14075" max="14075" width="34.42578125" style="202" customWidth="1"/>
    <col min="14076" max="14076" width="17.5703125" style="202" hidden="1" customWidth="1"/>
    <col min="14077" max="14078" width="14.7109375" style="202" customWidth="1"/>
    <col min="14079" max="14079" width="17.5703125" style="202" hidden="1" customWidth="1"/>
    <col min="14080" max="14080" width="10.7109375" style="202" customWidth="1"/>
    <col min="14081" max="14081" width="14.7109375" style="202" customWidth="1"/>
    <col min="14082" max="14082" width="10.7109375" style="202" customWidth="1"/>
    <col min="14083" max="14083" width="14.7109375" style="202" customWidth="1"/>
    <col min="14084" max="14084" width="10.7109375" style="202" customWidth="1"/>
    <col min="14085" max="14323" width="46" style="202" customWidth="1"/>
    <col min="14324" max="14324" width="5.7109375" style="202" customWidth="1"/>
    <col min="14325" max="14325" width="11" style="202" customWidth="1"/>
    <col min="14326" max="14326" width="34.5703125" style="202" customWidth="1"/>
    <col min="14327" max="14328" width="17.5703125" style="202"/>
    <col min="14329" max="14329" width="5.140625" style="202" customWidth="1"/>
    <col min="14330" max="14330" width="10.42578125" style="202" customWidth="1"/>
    <col min="14331" max="14331" width="34.42578125" style="202" customWidth="1"/>
    <col min="14332" max="14332" width="17.5703125" style="202" hidden="1" customWidth="1"/>
    <col min="14333" max="14334" width="14.7109375" style="202" customWidth="1"/>
    <col min="14335" max="14335" width="17.5703125" style="202" hidden="1" customWidth="1"/>
    <col min="14336" max="14336" width="10.7109375" style="202" customWidth="1"/>
    <col min="14337" max="14337" width="14.7109375" style="202" customWidth="1"/>
    <col min="14338" max="14338" width="10.7109375" style="202" customWidth="1"/>
    <col min="14339" max="14339" width="14.7109375" style="202" customWidth="1"/>
    <col min="14340" max="14340" width="10.7109375" style="202" customWidth="1"/>
    <col min="14341" max="14579" width="46" style="202" customWidth="1"/>
    <col min="14580" max="14580" width="5.7109375" style="202" customWidth="1"/>
    <col min="14581" max="14581" width="11" style="202" customWidth="1"/>
    <col min="14582" max="14582" width="34.5703125" style="202" customWidth="1"/>
    <col min="14583" max="14584" width="17.5703125" style="202"/>
    <col min="14585" max="14585" width="5.140625" style="202" customWidth="1"/>
    <col min="14586" max="14586" width="10.42578125" style="202" customWidth="1"/>
    <col min="14587" max="14587" width="34.42578125" style="202" customWidth="1"/>
    <col min="14588" max="14588" width="17.5703125" style="202" hidden="1" customWidth="1"/>
    <col min="14589" max="14590" width="14.7109375" style="202" customWidth="1"/>
    <col min="14591" max="14591" width="17.5703125" style="202" hidden="1" customWidth="1"/>
    <col min="14592" max="14592" width="10.7109375" style="202" customWidth="1"/>
    <col min="14593" max="14593" width="14.7109375" style="202" customWidth="1"/>
    <col min="14594" max="14594" width="10.7109375" style="202" customWidth="1"/>
    <col min="14595" max="14595" width="14.7109375" style="202" customWidth="1"/>
    <col min="14596" max="14596" width="10.7109375" style="202" customWidth="1"/>
    <col min="14597" max="14835" width="46" style="202" customWidth="1"/>
    <col min="14836" max="14836" width="5.7109375" style="202" customWidth="1"/>
    <col min="14837" max="14837" width="11" style="202" customWidth="1"/>
    <col min="14838" max="14838" width="34.5703125" style="202" customWidth="1"/>
    <col min="14839" max="14840" width="17.5703125" style="202"/>
    <col min="14841" max="14841" width="5.140625" style="202" customWidth="1"/>
    <col min="14842" max="14842" width="10.42578125" style="202" customWidth="1"/>
    <col min="14843" max="14843" width="34.42578125" style="202" customWidth="1"/>
    <col min="14844" max="14844" width="17.5703125" style="202" hidden="1" customWidth="1"/>
    <col min="14845" max="14846" width="14.7109375" style="202" customWidth="1"/>
    <col min="14847" max="14847" width="17.5703125" style="202" hidden="1" customWidth="1"/>
    <col min="14848" max="14848" width="10.7109375" style="202" customWidth="1"/>
    <col min="14849" max="14849" width="14.7109375" style="202" customWidth="1"/>
    <col min="14850" max="14850" width="10.7109375" style="202" customWidth="1"/>
    <col min="14851" max="14851" width="14.7109375" style="202" customWidth="1"/>
    <col min="14852" max="14852" width="10.7109375" style="202" customWidth="1"/>
    <col min="14853" max="15091" width="46" style="202" customWidth="1"/>
    <col min="15092" max="15092" width="5.7109375" style="202" customWidth="1"/>
    <col min="15093" max="15093" width="11" style="202" customWidth="1"/>
    <col min="15094" max="15094" width="34.5703125" style="202" customWidth="1"/>
    <col min="15095" max="15096" width="17.5703125" style="202"/>
    <col min="15097" max="15097" width="5.140625" style="202" customWidth="1"/>
    <col min="15098" max="15098" width="10.42578125" style="202" customWidth="1"/>
    <col min="15099" max="15099" width="34.42578125" style="202" customWidth="1"/>
    <col min="15100" max="15100" width="17.5703125" style="202" hidden="1" customWidth="1"/>
    <col min="15101" max="15102" width="14.7109375" style="202" customWidth="1"/>
    <col min="15103" max="15103" width="17.5703125" style="202" hidden="1" customWidth="1"/>
    <col min="15104" max="15104" width="10.7109375" style="202" customWidth="1"/>
    <col min="15105" max="15105" width="14.7109375" style="202" customWidth="1"/>
    <col min="15106" max="15106" width="10.7109375" style="202" customWidth="1"/>
    <col min="15107" max="15107" width="14.7109375" style="202" customWidth="1"/>
    <col min="15108" max="15108" width="10.7109375" style="202" customWidth="1"/>
    <col min="15109" max="15347" width="46" style="202" customWidth="1"/>
    <col min="15348" max="15348" width="5.7109375" style="202" customWidth="1"/>
    <col min="15349" max="15349" width="11" style="202" customWidth="1"/>
    <col min="15350" max="15350" width="34.5703125" style="202" customWidth="1"/>
    <col min="15351" max="15352" width="17.5703125" style="202"/>
    <col min="15353" max="15353" width="5.140625" style="202" customWidth="1"/>
    <col min="15354" max="15354" width="10.42578125" style="202" customWidth="1"/>
    <col min="15355" max="15355" width="34.42578125" style="202" customWidth="1"/>
    <col min="15356" max="15356" width="17.5703125" style="202" hidden="1" customWidth="1"/>
    <col min="15357" max="15358" width="14.7109375" style="202" customWidth="1"/>
    <col min="15359" max="15359" width="17.5703125" style="202" hidden="1" customWidth="1"/>
    <col min="15360" max="15360" width="10.7109375" style="202" customWidth="1"/>
    <col min="15361" max="15361" width="14.7109375" style="202" customWidth="1"/>
    <col min="15362" max="15362" width="10.7109375" style="202" customWidth="1"/>
    <col min="15363" max="15363" width="14.7109375" style="202" customWidth="1"/>
    <col min="15364" max="15364" width="10.7109375" style="202" customWidth="1"/>
    <col min="15365" max="15603" width="46" style="202" customWidth="1"/>
    <col min="15604" max="15604" width="5.7109375" style="202" customWidth="1"/>
    <col min="15605" max="15605" width="11" style="202" customWidth="1"/>
    <col min="15606" max="15606" width="34.5703125" style="202" customWidth="1"/>
    <col min="15607" max="15608" width="17.5703125" style="202"/>
    <col min="15609" max="15609" width="5.140625" style="202" customWidth="1"/>
    <col min="15610" max="15610" width="10.42578125" style="202" customWidth="1"/>
    <col min="15611" max="15611" width="34.42578125" style="202" customWidth="1"/>
    <col min="15612" max="15612" width="17.5703125" style="202" hidden="1" customWidth="1"/>
    <col min="15613" max="15614" width="14.7109375" style="202" customWidth="1"/>
    <col min="15615" max="15615" width="17.5703125" style="202" hidden="1" customWidth="1"/>
    <col min="15616" max="15616" width="10.7109375" style="202" customWidth="1"/>
    <col min="15617" max="15617" width="14.7109375" style="202" customWidth="1"/>
    <col min="15618" max="15618" width="10.7109375" style="202" customWidth="1"/>
    <col min="15619" max="15619" width="14.7109375" style="202" customWidth="1"/>
    <col min="15620" max="15620" width="10.7109375" style="202" customWidth="1"/>
    <col min="15621" max="15859" width="46" style="202" customWidth="1"/>
    <col min="15860" max="15860" width="5.7109375" style="202" customWidth="1"/>
    <col min="15861" max="15861" width="11" style="202" customWidth="1"/>
    <col min="15862" max="15862" width="34.5703125" style="202" customWidth="1"/>
    <col min="15863" max="15864" width="17.5703125" style="202"/>
    <col min="15865" max="15865" width="5.140625" style="202" customWidth="1"/>
    <col min="15866" max="15866" width="10.42578125" style="202" customWidth="1"/>
    <col min="15867" max="15867" width="34.42578125" style="202" customWidth="1"/>
    <col min="15868" max="15868" width="17.5703125" style="202" hidden="1" customWidth="1"/>
    <col min="15869" max="15870" width="14.7109375" style="202" customWidth="1"/>
    <col min="15871" max="15871" width="17.5703125" style="202" hidden="1" customWidth="1"/>
    <col min="15872" max="15872" width="10.7109375" style="202" customWidth="1"/>
    <col min="15873" max="15873" width="14.7109375" style="202" customWidth="1"/>
    <col min="15874" max="15874" width="10.7109375" style="202" customWidth="1"/>
    <col min="15875" max="15875" width="14.7109375" style="202" customWidth="1"/>
    <col min="15876" max="15876" width="10.7109375" style="202" customWidth="1"/>
    <col min="15877" max="16115" width="46" style="202" customWidth="1"/>
    <col min="16116" max="16116" width="5.7109375" style="202" customWidth="1"/>
    <col min="16117" max="16117" width="11" style="202" customWidth="1"/>
    <col min="16118" max="16118" width="34.5703125" style="202" customWidth="1"/>
    <col min="16119" max="16120" width="17.5703125" style="202"/>
    <col min="16121" max="16121" width="5.140625" style="202" customWidth="1"/>
    <col min="16122" max="16122" width="10.42578125" style="202" customWidth="1"/>
    <col min="16123" max="16123" width="34.42578125" style="202" customWidth="1"/>
    <col min="16124" max="16124" width="17.5703125" style="202" hidden="1" customWidth="1"/>
    <col min="16125" max="16126" width="14.7109375" style="202" customWidth="1"/>
    <col min="16127" max="16127" width="17.5703125" style="202" hidden="1" customWidth="1"/>
    <col min="16128" max="16128" width="10.7109375" style="202" customWidth="1"/>
    <col min="16129" max="16129" width="14.7109375" style="202" customWidth="1"/>
    <col min="16130" max="16130" width="10.7109375" style="202" customWidth="1"/>
    <col min="16131" max="16131" width="14.7109375" style="202" customWidth="1"/>
    <col min="16132" max="16132" width="10.7109375" style="202" customWidth="1"/>
    <col min="16133" max="16371" width="46" style="202" customWidth="1"/>
    <col min="16372" max="16372" width="5.7109375" style="202" customWidth="1"/>
    <col min="16373" max="16373" width="11" style="202" customWidth="1"/>
    <col min="16374" max="16374" width="34.5703125" style="202" customWidth="1"/>
    <col min="16375" max="16384" width="17.5703125" style="202"/>
  </cols>
  <sheetData>
    <row r="1" spans="1:7" ht="25.5" customHeight="1">
      <c r="A1" s="1049" t="s">
        <v>437</v>
      </c>
      <c r="B1" s="1049"/>
      <c r="C1" s="1049"/>
      <c r="D1" s="1049"/>
      <c r="E1" s="1049"/>
      <c r="F1" s="1049"/>
      <c r="G1" s="1049"/>
    </row>
    <row r="2" spans="1:7" s="204" customFormat="1" ht="30" customHeight="1">
      <c r="A2" s="73" t="s">
        <v>246</v>
      </c>
      <c r="B2" s="73" t="s">
        <v>247</v>
      </c>
      <c r="C2" s="73" t="s">
        <v>248</v>
      </c>
      <c r="D2" s="73" t="s">
        <v>249</v>
      </c>
      <c r="E2" s="73" t="s">
        <v>398</v>
      </c>
      <c r="F2" s="73" t="s">
        <v>399</v>
      </c>
      <c r="G2" s="287" t="s">
        <v>400</v>
      </c>
    </row>
    <row r="3" spans="1:7" ht="10.5" customHeight="1">
      <c r="A3" s="205" t="s">
        <v>250</v>
      </c>
      <c r="B3" s="205" t="s">
        <v>251</v>
      </c>
      <c r="C3" s="205" t="s">
        <v>252</v>
      </c>
      <c r="D3" s="205" t="s">
        <v>253</v>
      </c>
      <c r="E3" s="205" t="s">
        <v>253</v>
      </c>
      <c r="F3" s="205" t="s">
        <v>254</v>
      </c>
      <c r="G3" s="205" t="s">
        <v>255</v>
      </c>
    </row>
    <row r="4" spans="1:7" ht="25.5" customHeight="1">
      <c r="A4" s="206" t="s">
        <v>250</v>
      </c>
      <c r="B4" s="207" t="s">
        <v>256</v>
      </c>
      <c r="C4" s="208" t="s">
        <v>424</v>
      </c>
      <c r="D4" s="209">
        <f>SUM(D5:D12)</f>
        <v>0</v>
      </c>
      <c r="E4" s="209">
        <f>SUM(E5:E14)</f>
        <v>1834121771</v>
      </c>
      <c r="F4" s="209">
        <f>SUM(F5:F14)</f>
        <v>1566260110</v>
      </c>
      <c r="G4" s="209">
        <f>SUM(G5:G14)</f>
        <v>1547295674</v>
      </c>
    </row>
    <row r="5" spans="1:7" ht="15" customHeight="1">
      <c r="A5" s="210"/>
      <c r="B5" s="211"/>
      <c r="C5" s="70" t="s">
        <v>278</v>
      </c>
      <c r="D5" s="212"/>
      <c r="E5" s="212">
        <v>584662411</v>
      </c>
      <c r="F5" s="212">
        <v>216316492</v>
      </c>
      <c r="G5" s="212">
        <v>216775535</v>
      </c>
    </row>
    <row r="6" spans="1:7" ht="15" customHeight="1">
      <c r="A6" s="210"/>
      <c r="B6" s="211"/>
      <c r="C6" s="70" t="s">
        <v>279</v>
      </c>
      <c r="D6" s="213"/>
      <c r="E6" s="213">
        <v>12791012</v>
      </c>
      <c r="F6" s="213">
        <v>13891368</v>
      </c>
      <c r="G6" s="213">
        <v>13891368</v>
      </c>
    </row>
    <row r="7" spans="1:7" ht="15" customHeight="1">
      <c r="A7" s="210"/>
      <c r="B7" s="211"/>
      <c r="C7" s="70" t="s">
        <v>463</v>
      </c>
      <c r="D7" s="212"/>
      <c r="E7" s="212">
        <v>468947</v>
      </c>
      <c r="F7" s="212">
        <v>0</v>
      </c>
      <c r="G7" s="212">
        <v>0</v>
      </c>
    </row>
    <row r="8" spans="1:7" ht="15" customHeight="1">
      <c r="A8" s="210"/>
      <c r="B8" s="211"/>
      <c r="C8" s="70" t="s">
        <v>281</v>
      </c>
      <c r="D8" s="212"/>
      <c r="E8" s="212">
        <v>1100000</v>
      </c>
      <c r="F8" s="212">
        <v>1100000</v>
      </c>
      <c r="G8" s="212">
        <v>1100000</v>
      </c>
    </row>
    <row r="9" spans="1:7" ht="15" customHeight="1">
      <c r="A9" s="210"/>
      <c r="B9" s="211"/>
      <c r="C9" s="70" t="s">
        <v>282</v>
      </c>
      <c r="D9" s="212"/>
      <c r="E9" s="212">
        <v>5867246</v>
      </c>
      <c r="F9" s="212">
        <v>852250</v>
      </c>
      <c r="G9" s="212">
        <v>802250</v>
      </c>
    </row>
    <row r="10" spans="1:7" ht="15" customHeight="1">
      <c r="A10" s="210"/>
      <c r="B10" s="211"/>
      <c r="C10" s="70" t="s">
        <v>284</v>
      </c>
      <c r="D10" s="212"/>
      <c r="E10" s="212">
        <v>100000</v>
      </c>
      <c r="F10" s="212">
        <v>100000</v>
      </c>
      <c r="G10" s="212">
        <v>100000</v>
      </c>
    </row>
    <row r="11" spans="1:7" ht="15" customHeight="1">
      <c r="A11" s="210"/>
      <c r="B11" s="211"/>
      <c r="C11" s="70" t="s">
        <v>373</v>
      </c>
      <c r="D11" s="212"/>
      <c r="E11" s="212">
        <v>19000000</v>
      </c>
      <c r="F11" s="212">
        <v>19000000</v>
      </c>
      <c r="G11" s="212">
        <v>19000000</v>
      </c>
    </row>
    <row r="12" spans="1:7" ht="15" customHeight="1">
      <c r="A12" s="210"/>
      <c r="B12" s="211"/>
      <c r="C12" s="70" t="s">
        <v>283</v>
      </c>
      <c r="D12" s="212"/>
      <c r="E12" s="212">
        <v>552000000</v>
      </c>
      <c r="F12" s="212">
        <v>832000000</v>
      </c>
      <c r="G12" s="212">
        <v>1232626521</v>
      </c>
    </row>
    <row r="13" spans="1:7" ht="15" customHeight="1">
      <c r="A13" s="210"/>
      <c r="B13" s="211"/>
      <c r="C13" s="245" t="s">
        <v>431</v>
      </c>
      <c r="D13" s="212"/>
      <c r="E13" s="523">
        <v>240132155</v>
      </c>
      <c r="F13" s="523">
        <v>65000000</v>
      </c>
      <c r="G13" s="523">
        <v>63000000</v>
      </c>
    </row>
    <row r="14" spans="1:7" ht="15" customHeight="1">
      <c r="A14" s="210"/>
      <c r="B14" s="211"/>
      <c r="C14" s="245" t="s">
        <v>434</v>
      </c>
      <c r="D14" s="212"/>
      <c r="E14" s="523">
        <v>418000000</v>
      </c>
      <c r="F14" s="523">
        <v>418000000</v>
      </c>
      <c r="G14" s="523">
        <v>0</v>
      </c>
    </row>
    <row r="15" spans="1:7" ht="25.5" customHeight="1">
      <c r="A15" s="214" t="s">
        <v>251</v>
      </c>
      <c r="B15" s="215" t="s">
        <v>257</v>
      </c>
      <c r="C15" s="216" t="s">
        <v>100</v>
      </c>
      <c r="D15" s="217">
        <f>SUM(D16:D18)</f>
        <v>48244473</v>
      </c>
      <c r="E15" s="217">
        <f>SUM(E16:E20)</f>
        <v>39190888</v>
      </c>
      <c r="F15" s="217">
        <f>SUM(F16:F20)</f>
        <v>38890888</v>
      </c>
      <c r="G15" s="217">
        <f>SUM(G16:G19)</f>
        <v>38890888</v>
      </c>
    </row>
    <row r="16" spans="1:7" ht="15" customHeight="1">
      <c r="A16" s="210"/>
      <c r="B16" s="211"/>
      <c r="C16" s="70" t="s">
        <v>278</v>
      </c>
      <c r="D16" s="212">
        <v>45069473</v>
      </c>
      <c r="E16" s="212">
        <v>36015888</v>
      </c>
      <c r="F16" s="212">
        <v>35715888</v>
      </c>
      <c r="G16" s="212">
        <v>35715888</v>
      </c>
    </row>
    <row r="17" spans="1:8" ht="15" customHeight="1">
      <c r="A17" s="210"/>
      <c r="B17" s="211"/>
      <c r="C17" s="70" t="s">
        <v>280</v>
      </c>
      <c r="D17" s="212"/>
      <c r="E17" s="212">
        <v>73000</v>
      </c>
      <c r="F17" s="212">
        <v>73000</v>
      </c>
      <c r="G17" s="212">
        <v>73000</v>
      </c>
    </row>
    <row r="18" spans="1:8" ht="15" customHeight="1">
      <c r="A18" s="210"/>
      <c r="B18" s="211"/>
      <c r="C18" s="70" t="s">
        <v>281</v>
      </c>
      <c r="D18" s="213">
        <v>3175000</v>
      </c>
      <c r="E18" s="213">
        <v>2027000</v>
      </c>
      <c r="F18" s="213">
        <v>2027000</v>
      </c>
      <c r="G18" s="213">
        <v>2027000</v>
      </c>
    </row>
    <row r="19" spans="1:8" ht="15" customHeight="1">
      <c r="A19" s="210"/>
      <c r="B19" s="211"/>
      <c r="C19" s="70" t="s">
        <v>285</v>
      </c>
      <c r="D19" s="213"/>
      <c r="E19" s="213">
        <v>1075000</v>
      </c>
      <c r="F19" s="213">
        <v>1075000</v>
      </c>
      <c r="G19" s="213">
        <v>1075000</v>
      </c>
    </row>
    <row r="20" spans="1:8" ht="15" customHeight="1">
      <c r="A20" s="210"/>
      <c r="B20" s="211"/>
      <c r="C20" s="70" t="s">
        <v>298</v>
      </c>
      <c r="D20" s="213"/>
      <c r="E20" s="213">
        <v>0</v>
      </c>
      <c r="F20" s="213">
        <v>0</v>
      </c>
      <c r="G20" s="213">
        <v>0</v>
      </c>
    </row>
    <row r="21" spans="1:8" ht="25.5" customHeight="1">
      <c r="A21" s="214" t="s">
        <v>252</v>
      </c>
      <c r="B21" s="215" t="s">
        <v>314</v>
      </c>
      <c r="C21" s="216" t="s">
        <v>286</v>
      </c>
      <c r="D21" s="217" t="e">
        <f>#REF!+D22+D24+#REF!</f>
        <v>#REF!</v>
      </c>
      <c r="E21" s="217">
        <f t="shared" ref="E21:G21" si="0">E22+E24</f>
        <v>18837384</v>
      </c>
      <c r="F21" s="217">
        <f t="shared" si="0"/>
        <v>15537384</v>
      </c>
      <c r="G21" s="217">
        <f t="shared" si="0"/>
        <v>15537384</v>
      </c>
    </row>
    <row r="22" spans="1:8" s="222" customFormat="1" ht="25.5" customHeight="1">
      <c r="A22" s="218" t="s">
        <v>258</v>
      </c>
      <c r="B22" s="219" t="s">
        <v>152</v>
      </c>
      <c r="C22" s="220" t="s">
        <v>153</v>
      </c>
      <c r="D22" s="221">
        <f t="shared" ref="D22:G22" si="1">SUM(D23)</f>
        <v>4814304</v>
      </c>
      <c r="E22" s="221">
        <f t="shared" si="1"/>
        <v>2000000</v>
      </c>
      <c r="F22" s="221">
        <f t="shared" si="1"/>
        <v>0</v>
      </c>
      <c r="G22" s="221">
        <f t="shared" si="1"/>
        <v>0</v>
      </c>
      <c r="H22" s="166"/>
    </row>
    <row r="23" spans="1:8" s="222" customFormat="1" ht="15" customHeight="1">
      <c r="A23" s="223"/>
      <c r="B23" s="224"/>
      <c r="C23" s="70" t="s">
        <v>278</v>
      </c>
      <c r="D23" s="213">
        <v>4814304</v>
      </c>
      <c r="E23" s="213">
        <v>2000000</v>
      </c>
      <c r="F23" s="213">
        <v>0</v>
      </c>
      <c r="G23" s="213">
        <v>0</v>
      </c>
    </row>
    <row r="24" spans="1:8" s="222" customFormat="1" ht="25.5" customHeight="1">
      <c r="A24" s="225" t="s">
        <v>259</v>
      </c>
      <c r="B24" s="226">
        <v>47641</v>
      </c>
      <c r="C24" s="220" t="s">
        <v>159</v>
      </c>
      <c r="D24" s="221">
        <f>SUM(D25)</f>
        <v>12821973</v>
      </c>
      <c r="E24" s="221">
        <f>E25+E26+E27</f>
        <v>16837384</v>
      </c>
      <c r="F24" s="221">
        <f t="shared" ref="F24:G24" si="2">F25+F26+F27</f>
        <v>15537384</v>
      </c>
      <c r="G24" s="221">
        <f t="shared" si="2"/>
        <v>15537384</v>
      </c>
    </row>
    <row r="25" spans="1:8" s="222" customFormat="1" ht="15" customHeight="1">
      <c r="A25" s="227"/>
      <c r="B25" s="228"/>
      <c r="C25" s="70" t="s">
        <v>278</v>
      </c>
      <c r="D25" s="213">
        <v>12821973</v>
      </c>
      <c r="E25" s="213">
        <v>15947384</v>
      </c>
      <c r="F25" s="213">
        <v>15537384</v>
      </c>
      <c r="G25" s="213">
        <v>15537384</v>
      </c>
    </row>
    <row r="26" spans="1:8" s="222" customFormat="1" ht="15" customHeight="1">
      <c r="A26" s="227"/>
      <c r="B26" s="228"/>
      <c r="C26" s="70" t="s">
        <v>279</v>
      </c>
      <c r="D26" s="213"/>
      <c r="E26" s="213">
        <v>90000</v>
      </c>
      <c r="F26" s="213">
        <v>0</v>
      </c>
      <c r="G26" s="213">
        <v>0</v>
      </c>
    </row>
    <row r="27" spans="1:8" s="222" customFormat="1" ht="15" customHeight="1">
      <c r="A27" s="227"/>
      <c r="B27" s="228"/>
      <c r="C27" s="70" t="s">
        <v>282</v>
      </c>
      <c r="D27" s="213"/>
      <c r="E27" s="213">
        <v>800000</v>
      </c>
      <c r="F27" s="213">
        <v>0</v>
      </c>
      <c r="G27" s="213">
        <v>0</v>
      </c>
    </row>
    <row r="28" spans="1:8" s="222" customFormat="1" ht="25.5" customHeight="1">
      <c r="A28" s="214" t="s">
        <v>253</v>
      </c>
      <c r="B28" s="215" t="s">
        <v>260</v>
      </c>
      <c r="C28" s="216" t="s">
        <v>118</v>
      </c>
      <c r="D28" s="217">
        <f>SUM(D29:D30)</f>
        <v>17540322</v>
      </c>
      <c r="E28" s="217">
        <f>SUM(E29:E31)</f>
        <v>15203505</v>
      </c>
      <c r="F28" s="217">
        <f>SUM(F29:F31)</f>
        <v>16483505</v>
      </c>
      <c r="G28" s="217">
        <f>SUM(G29:G30)</f>
        <v>16483505</v>
      </c>
    </row>
    <row r="29" spans="1:8" ht="15" customHeight="1">
      <c r="A29" s="210"/>
      <c r="B29" s="211"/>
      <c r="C29" s="70" t="s">
        <v>278</v>
      </c>
      <c r="D29" s="212">
        <v>17528322</v>
      </c>
      <c r="E29" s="212">
        <v>15178505</v>
      </c>
      <c r="F29" s="212">
        <v>16478505</v>
      </c>
      <c r="G29" s="212">
        <v>16478505</v>
      </c>
    </row>
    <row r="30" spans="1:8" ht="15" customHeight="1">
      <c r="A30" s="210"/>
      <c r="B30" s="211"/>
      <c r="C30" s="70" t="s">
        <v>280</v>
      </c>
      <c r="D30" s="213">
        <v>12000</v>
      </c>
      <c r="E30" s="213">
        <v>25000</v>
      </c>
      <c r="F30" s="213">
        <v>5000</v>
      </c>
      <c r="G30" s="213">
        <v>5000</v>
      </c>
    </row>
    <row r="31" spans="1:8" ht="15" customHeight="1">
      <c r="A31" s="210"/>
      <c r="B31" s="211"/>
      <c r="C31" s="70" t="s">
        <v>284</v>
      </c>
      <c r="D31" s="213"/>
      <c r="E31" s="213">
        <v>0</v>
      </c>
      <c r="F31" s="213">
        <v>0</v>
      </c>
      <c r="G31" s="213">
        <v>0</v>
      </c>
    </row>
    <row r="32" spans="1:8" s="222" customFormat="1" ht="25.5" customHeight="1">
      <c r="A32" s="214" t="s">
        <v>254</v>
      </c>
      <c r="B32" s="215" t="s">
        <v>261</v>
      </c>
      <c r="C32" s="216" t="s">
        <v>134</v>
      </c>
      <c r="D32" s="217">
        <f t="shared" ref="D32:G32" si="3">SUM(D33:D35)</f>
        <v>378000</v>
      </c>
      <c r="E32" s="217">
        <f t="shared" si="3"/>
        <v>9745271</v>
      </c>
      <c r="F32" s="217">
        <f t="shared" si="3"/>
        <v>9745271</v>
      </c>
      <c r="G32" s="217">
        <f t="shared" si="3"/>
        <v>9745271</v>
      </c>
    </row>
    <row r="33" spans="1:7" ht="15" customHeight="1">
      <c r="A33" s="210"/>
      <c r="B33" s="211"/>
      <c r="C33" s="70" t="s">
        <v>278</v>
      </c>
      <c r="D33" s="212"/>
      <c r="E33" s="212">
        <v>9493271</v>
      </c>
      <c r="F33" s="212">
        <v>9493271</v>
      </c>
      <c r="G33" s="212">
        <v>9493271</v>
      </c>
    </row>
    <row r="34" spans="1:7" ht="15" customHeight="1">
      <c r="A34" s="210"/>
      <c r="B34" s="211"/>
      <c r="C34" s="70" t="s">
        <v>279</v>
      </c>
      <c r="D34" s="212">
        <v>18000</v>
      </c>
      <c r="E34" s="212">
        <v>60000</v>
      </c>
      <c r="F34" s="212">
        <v>60000</v>
      </c>
      <c r="G34" s="212">
        <v>60000</v>
      </c>
    </row>
    <row r="35" spans="1:7" ht="15" customHeight="1">
      <c r="A35" s="210"/>
      <c r="B35" s="211"/>
      <c r="C35" s="70" t="s">
        <v>282</v>
      </c>
      <c r="D35" s="213">
        <v>360000</v>
      </c>
      <c r="E35" s="213">
        <v>192000</v>
      </c>
      <c r="F35" s="213">
        <v>192000</v>
      </c>
      <c r="G35" s="213">
        <v>192000</v>
      </c>
    </row>
    <row r="36" spans="1:7" s="222" customFormat="1" ht="25.5" customHeight="1">
      <c r="A36" s="214" t="s">
        <v>255</v>
      </c>
      <c r="B36" s="215" t="s">
        <v>262</v>
      </c>
      <c r="C36" s="216" t="s">
        <v>145</v>
      </c>
      <c r="D36" s="217">
        <f>SUM(D37)</f>
        <v>6831692</v>
      </c>
      <c r="E36" s="217">
        <f>SUM(E37:E38)</f>
        <v>8025234</v>
      </c>
      <c r="F36" s="217">
        <f>SUM(F37:F38)</f>
        <v>7625234</v>
      </c>
      <c r="G36" s="217">
        <f>SUM(G37:G38)</f>
        <v>7625234</v>
      </c>
    </row>
    <row r="37" spans="1:7" ht="15" customHeight="1">
      <c r="A37" s="223"/>
      <c r="B37" s="224"/>
      <c r="C37" s="94" t="s">
        <v>278</v>
      </c>
      <c r="D37" s="213">
        <v>6831692</v>
      </c>
      <c r="E37" s="213">
        <v>8025234</v>
      </c>
      <c r="F37" s="213">
        <v>7625234</v>
      </c>
      <c r="G37" s="213">
        <v>7625234</v>
      </c>
    </row>
    <row r="38" spans="1:7" s="222" customFormat="1" ht="15" customHeight="1">
      <c r="A38" s="229"/>
      <c r="B38" s="230"/>
      <c r="C38" s="118" t="s">
        <v>284</v>
      </c>
      <c r="D38" s="231"/>
      <c r="E38" s="231">
        <v>0</v>
      </c>
      <c r="F38" s="231">
        <v>0</v>
      </c>
      <c r="G38" s="231">
        <v>0</v>
      </c>
    </row>
    <row r="39" spans="1:7" s="222" customFormat="1" ht="25.5" customHeight="1">
      <c r="A39" s="232">
        <v>7</v>
      </c>
      <c r="B39" s="215" t="s">
        <v>310</v>
      </c>
      <c r="C39" s="233" t="s">
        <v>313</v>
      </c>
      <c r="D39" s="217">
        <f>SUM(D40)</f>
        <v>6831692</v>
      </c>
      <c r="E39" s="217">
        <f>SUM(E40:E50)</f>
        <v>166280422</v>
      </c>
      <c r="F39" s="217">
        <f>SUM(F40:F50)</f>
        <v>538053203</v>
      </c>
      <c r="G39" s="217">
        <f>SUM(G40:G50)</f>
        <v>543655547</v>
      </c>
    </row>
    <row r="40" spans="1:7" ht="15" customHeight="1">
      <c r="A40" s="223"/>
      <c r="B40" s="224"/>
      <c r="C40" s="94" t="s">
        <v>278</v>
      </c>
      <c r="D40" s="213">
        <v>6831692</v>
      </c>
      <c r="E40" s="213">
        <v>29408203</v>
      </c>
      <c r="F40" s="213">
        <v>25589311</v>
      </c>
      <c r="G40" s="213">
        <v>25562746</v>
      </c>
    </row>
    <row r="41" spans="1:7" ht="15" customHeight="1">
      <c r="A41" s="229"/>
      <c r="B41" s="230"/>
      <c r="C41" s="70" t="s">
        <v>279</v>
      </c>
      <c r="D41" s="231"/>
      <c r="E41" s="231">
        <v>5604181</v>
      </c>
      <c r="F41" s="231">
        <v>7473073</v>
      </c>
      <c r="G41" s="231">
        <v>7499638</v>
      </c>
    </row>
    <row r="42" spans="1:7" ht="15" customHeight="1">
      <c r="A42" s="229"/>
      <c r="B42" s="230"/>
      <c r="C42" s="70" t="s">
        <v>435</v>
      </c>
      <c r="D42" s="231"/>
      <c r="E42" s="231">
        <v>1125000</v>
      </c>
      <c r="F42" s="231">
        <v>1075000</v>
      </c>
      <c r="G42" s="231">
        <v>1075000</v>
      </c>
    </row>
    <row r="43" spans="1:7" ht="15" customHeight="1">
      <c r="A43" s="229"/>
      <c r="B43" s="230"/>
      <c r="C43" s="70" t="s">
        <v>280</v>
      </c>
      <c r="D43" s="231"/>
      <c r="E43" s="231">
        <v>20548</v>
      </c>
      <c r="F43" s="231">
        <v>0</v>
      </c>
      <c r="G43" s="231">
        <v>0</v>
      </c>
    </row>
    <row r="44" spans="1:7" ht="15" customHeight="1">
      <c r="A44" s="229"/>
      <c r="B44" s="230"/>
      <c r="C44" s="70" t="s">
        <v>282</v>
      </c>
      <c r="D44" s="231"/>
      <c r="E44" s="231">
        <v>646369</v>
      </c>
      <c r="F44" s="231">
        <v>655513</v>
      </c>
      <c r="G44" s="231">
        <v>601065</v>
      </c>
    </row>
    <row r="45" spans="1:7" ht="15" customHeight="1">
      <c r="A45" s="229"/>
      <c r="B45" s="230"/>
      <c r="C45" s="70" t="s">
        <v>372</v>
      </c>
      <c r="D45" s="231"/>
      <c r="E45" s="231">
        <v>4726121</v>
      </c>
      <c r="F45" s="231">
        <v>5381005</v>
      </c>
      <c r="G45" s="231">
        <v>5419599</v>
      </c>
    </row>
    <row r="46" spans="1:7" ht="15" customHeight="1">
      <c r="A46" s="229"/>
      <c r="B46" s="230"/>
      <c r="C46" s="70" t="s">
        <v>283</v>
      </c>
      <c r="D46" s="231"/>
      <c r="E46" s="231">
        <v>36000000</v>
      </c>
      <c r="F46" s="231">
        <v>54349889</v>
      </c>
      <c r="G46" s="231">
        <v>60313675</v>
      </c>
    </row>
    <row r="47" spans="1:7" ht="15" customHeight="1">
      <c r="A47" s="229"/>
      <c r="B47" s="230"/>
      <c r="C47" s="245" t="s">
        <v>431</v>
      </c>
      <c r="D47" s="231"/>
      <c r="E47" s="522">
        <v>70000000</v>
      </c>
      <c r="F47" s="522">
        <v>80000000</v>
      </c>
      <c r="G47" s="522">
        <v>75000000</v>
      </c>
    </row>
    <row r="48" spans="1:7" ht="15" customHeight="1">
      <c r="A48" s="229"/>
      <c r="B48" s="230"/>
      <c r="C48" s="245" t="s">
        <v>432</v>
      </c>
      <c r="D48" s="231"/>
      <c r="E48" s="522">
        <v>3500000</v>
      </c>
      <c r="F48" s="522">
        <v>83529412</v>
      </c>
      <c r="G48" s="522">
        <v>126058824</v>
      </c>
    </row>
    <row r="49" spans="1:7" ht="15" customHeight="1">
      <c r="A49" s="229"/>
      <c r="B49" s="230"/>
      <c r="C49" s="245" t="s">
        <v>433</v>
      </c>
      <c r="D49" s="231"/>
      <c r="E49" s="522">
        <v>10750000</v>
      </c>
      <c r="F49" s="522">
        <v>27500000</v>
      </c>
      <c r="G49" s="522">
        <v>26500000</v>
      </c>
    </row>
    <row r="50" spans="1:7" s="222" customFormat="1" ht="15" customHeight="1">
      <c r="A50" s="229"/>
      <c r="B50" s="230"/>
      <c r="C50" s="245" t="s">
        <v>434</v>
      </c>
      <c r="D50" s="231"/>
      <c r="E50" s="522">
        <v>4500000</v>
      </c>
      <c r="F50" s="522">
        <v>252500000</v>
      </c>
      <c r="G50" s="522">
        <v>215625000</v>
      </c>
    </row>
    <row r="51" spans="1:7" s="222" customFormat="1" ht="25.5" customHeight="1">
      <c r="A51" s="232">
        <v>8</v>
      </c>
      <c r="B51" s="215" t="s">
        <v>311</v>
      </c>
      <c r="C51" s="216" t="s">
        <v>312</v>
      </c>
      <c r="D51" s="217">
        <f>SUM(D52)</f>
        <v>6831692</v>
      </c>
      <c r="E51" s="217">
        <f>SUM(E52:E53)</f>
        <v>2056542</v>
      </c>
      <c r="F51" s="217">
        <f>SUM(F52:F53)</f>
        <v>2006542</v>
      </c>
      <c r="G51" s="217">
        <f>SUM(G52:G53)</f>
        <v>2006542</v>
      </c>
    </row>
    <row r="52" spans="1:7" ht="15" customHeight="1">
      <c r="A52" s="223"/>
      <c r="B52" s="224"/>
      <c r="C52" s="94" t="s">
        <v>278</v>
      </c>
      <c r="D52" s="213">
        <v>6831692</v>
      </c>
      <c r="E52" s="213">
        <v>2006542</v>
      </c>
      <c r="F52" s="213">
        <v>2006542</v>
      </c>
      <c r="G52" s="213">
        <v>2006542</v>
      </c>
    </row>
    <row r="53" spans="1:7" ht="15" customHeight="1">
      <c r="A53" s="229"/>
      <c r="B53" s="230"/>
      <c r="C53" s="70" t="s">
        <v>280</v>
      </c>
      <c r="D53" s="231"/>
      <c r="E53" s="231">
        <v>50000</v>
      </c>
      <c r="F53" s="231">
        <v>0</v>
      </c>
      <c r="G53" s="231">
        <v>0</v>
      </c>
    </row>
    <row r="54" spans="1:7" ht="33" customHeight="1">
      <c r="A54" s="234"/>
      <c r="B54" s="235" t="s">
        <v>263</v>
      </c>
      <c r="C54" s="203" t="s">
        <v>425</v>
      </c>
      <c r="D54" s="236" t="e">
        <f>D4+D15+#REF!+D22+D24+#REF!+D28+D32+D36</f>
        <v>#REF!</v>
      </c>
      <c r="E54" s="236">
        <f>E4+E15+E22+E24+E28+E32+E36+E39+E51</f>
        <v>2093461017</v>
      </c>
      <c r="F54" s="236">
        <f>F4+F15+F22+F24+F28+F32+F36+F39+F51</f>
        <v>2194602137</v>
      </c>
      <c r="G54" s="236">
        <f>G4+G15+G22+G24+G28+G32+G36+G39+G51</f>
        <v>2181240045</v>
      </c>
    </row>
    <row r="55" spans="1:7">
      <c r="A55" s="237"/>
      <c r="B55" s="238"/>
      <c r="C55" s="239"/>
      <c r="D55" s="37"/>
      <c r="E55" s="37"/>
      <c r="F55" s="37"/>
      <c r="G55" s="37"/>
    </row>
    <row r="56" spans="1:7">
      <c r="A56" s="202"/>
      <c r="C56" s="471" t="s">
        <v>402</v>
      </c>
      <c r="D56" s="201"/>
      <c r="E56" s="166">
        <v>722407631</v>
      </c>
      <c r="F56" s="166">
        <v>351262068</v>
      </c>
      <c r="G56" s="166">
        <v>351721111</v>
      </c>
    </row>
    <row r="57" spans="1:7">
      <c r="C57" s="471" t="s">
        <v>436</v>
      </c>
      <c r="D57" s="201"/>
      <c r="E57" s="166">
        <f>E5+E6+E16+E23+E25+E26+E29+E33+E34+E37+E40+E41++E42+E52</f>
        <v>722407631</v>
      </c>
      <c r="F57" s="166">
        <f>F5+F6+F16+F23+F25+F26+F29+F33+F34+F37+F40+F41++F42+F52</f>
        <v>351262068</v>
      </c>
      <c r="G57" s="166">
        <f>G5+G6+G16+G23+G25+G26+G29+G33+G34+G37+G40+G41++G42+G52</f>
        <v>351721111</v>
      </c>
    </row>
    <row r="58" spans="1:7">
      <c r="E58" s="39"/>
      <c r="F58" s="39"/>
      <c r="G58" s="39"/>
    </row>
    <row r="59" spans="1:7">
      <c r="E59" s="470">
        <f>E56-E57</f>
        <v>0</v>
      </c>
      <c r="F59" s="470">
        <f t="shared" ref="F59:G59" si="4">F56-F57</f>
        <v>0</v>
      </c>
      <c r="G59" s="470">
        <f t="shared" si="4"/>
        <v>0</v>
      </c>
    </row>
  </sheetData>
  <customSheetViews>
    <customSheetView guid="{DE360DA9-5353-4F03-95DA-9238CFBE39D8}" hiddenColumns="1" state="hidden">
      <pane ySplit="3" topLeftCell="A4" activePane="bottomLeft" state="frozen"/>
      <selection pane="bottomLeft" activeCell="F13" sqref="F13"/>
      <pageMargins left="0.39370078740157483" right="0.39370078740157483" top="0.39370078740157483" bottom="0.39370078740157483" header="0.39370078740157483" footer="0.39370078740157483"/>
      <printOptions horizontalCentered="1"/>
      <pageSetup paperSize="9" scale="93" orientation="landscape" r:id="rId1"/>
    </customSheetView>
    <customSheetView guid="{4FFB33FE-6696-4144-BF99-378C5196B940}" hiddenColumns="1" state="hidden">
      <pane ySplit="3" topLeftCell="A4" activePane="bottomLeft" state="frozen"/>
      <selection pane="bottomLeft" activeCell="F13" sqref="F13"/>
      <pageMargins left="0.39370078740157483" right="0.39370078740157483" top="0.39370078740157483" bottom="0.39370078740157483" header="0.39370078740157483" footer="0.39370078740157483"/>
      <printOptions horizontalCentered="1"/>
      <pageSetup paperSize="9" scale="93" orientation="landscape" r:id="rId2"/>
    </customSheetView>
    <customSheetView guid="{3D59341C-00F4-4635-AC4F-8988CF6BE637}" hiddenColumns="1" state="hidden">
      <pane ySplit="3" topLeftCell="A4" activePane="bottomLeft" state="frozen"/>
      <selection pane="bottomLeft" activeCell="F13" sqref="F13"/>
      <pageMargins left="0.39370078740157483" right="0.39370078740157483" top="0.39370078740157483" bottom="0.39370078740157483" header="0.39370078740157483" footer="0.39370078740157483"/>
      <printOptions horizontalCentered="1"/>
      <pageSetup paperSize="9" scale="93" orientation="landscape" r:id="rId3"/>
    </customSheetView>
    <customSheetView guid="{5251AB89-31D9-4C6C-945A-13C9748C2E26}" hiddenColumns="1" state="hidden">
      <pane ySplit="3" topLeftCell="A4" activePane="bottomLeft" state="frozen"/>
      <selection pane="bottomLeft" activeCell="F13" sqref="F13"/>
      <pageMargins left="0.39370078740157483" right="0.39370078740157483" top="0.39370078740157483" bottom="0.39370078740157483" header="0.39370078740157483" footer="0.39370078740157483"/>
      <printOptions horizontalCentered="1"/>
      <pageSetup paperSize="9" scale="93" orientation="landscape" r:id="rId4"/>
    </customSheetView>
    <customSheetView guid="{14A1FC8C-94B5-4B4E-9269-30661976D1D1}" hiddenColumns="1" state="hidden">
      <pane ySplit="3" topLeftCell="A4" activePane="bottomLeft" state="frozen"/>
      <selection pane="bottomLeft" activeCell="F13" sqref="F13"/>
      <pageMargins left="0.39370078740157483" right="0.39370078740157483" top="0.39370078740157483" bottom="0.39370078740157483" header="0.39370078740157483" footer="0.39370078740157483"/>
      <printOptions horizontalCentered="1"/>
      <pageSetup paperSize="9" scale="93" orientation="landscape" r:id="rId5"/>
    </customSheetView>
    <customSheetView guid="{D0F51479-7B68-4FFC-8604-F0A17468B00E}" hiddenColumns="1" state="hidden">
      <pane ySplit="3" topLeftCell="A4" activePane="bottomLeft" state="frozen"/>
      <selection pane="bottomLeft" activeCell="F13" sqref="F13"/>
      <pageMargins left="0.39370078740157483" right="0.39370078740157483" top="0.39370078740157483" bottom="0.39370078740157483" header="0.39370078740157483" footer="0.39370078740157483"/>
      <printOptions horizontalCentered="1"/>
      <pageSetup paperSize="9" scale="93" orientation="landscape" r:id="rId6"/>
    </customSheetView>
    <customSheetView guid="{0D7CE69A-AF67-471F-AE1C-92FEF35D1955}" hiddenColumns="1" state="hidden">
      <pane ySplit="3" topLeftCell="A4" activePane="bottomLeft" state="frozen"/>
      <selection pane="bottomLeft" activeCell="F13" sqref="F13"/>
      <pageMargins left="0.39370078740157483" right="0.39370078740157483" top="0.39370078740157483" bottom="0.39370078740157483" header="0.39370078740157483" footer="0.39370078740157483"/>
      <printOptions horizontalCentered="1"/>
      <pageSetup paperSize="9" scale="93" orientation="landscape" r:id="rId7"/>
    </customSheetView>
    <customSheetView guid="{3EC3B099-A84F-48D2-A97E-B7686AB72BE7}" hiddenColumns="1" state="hidden">
      <pane ySplit="3" topLeftCell="A4" activePane="bottomLeft" state="frozen"/>
      <selection pane="bottomLeft" activeCell="F13" sqref="F13"/>
      <pageMargins left="0.39370078740157483" right="0.39370078740157483" top="0.39370078740157483" bottom="0.39370078740157483" header="0.39370078740157483" footer="0.39370078740157483"/>
      <printOptions horizontalCentered="1"/>
      <pageSetup paperSize="9" scale="93" orientation="landscape" r:id="rId8"/>
    </customSheetView>
  </customSheetViews>
  <mergeCells count="1">
    <mergeCell ref="A1:G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3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3"/>
  <sheetViews>
    <sheetView zoomScale="110" zoomScaleNormal="110" zoomScaleSheetLayoutView="120" workbookViewId="0">
      <pane ySplit="14" topLeftCell="A15" activePane="bottomLeft" state="frozen"/>
      <selection pane="bottomLeft" activeCell="A163" sqref="A163"/>
    </sheetView>
  </sheetViews>
  <sheetFormatPr defaultColWidth="9.140625" defaultRowHeight="14.25"/>
  <cols>
    <col min="1" max="1" width="9.7109375" style="165" customWidth="1"/>
    <col min="2" max="2" width="50.5703125" style="123" customWidth="1"/>
    <col min="3" max="4" width="5.7109375" style="123" customWidth="1"/>
    <col min="5" max="7" width="16.85546875" style="123" customWidth="1"/>
    <col min="8" max="9" width="9.140625" style="123"/>
    <col min="10" max="12" width="12.85546875" style="123" customWidth="1"/>
    <col min="13" max="16384" width="9.140625" style="123"/>
  </cols>
  <sheetData>
    <row r="1" spans="1:7" ht="30" customHeight="1">
      <c r="A1" s="71"/>
      <c r="B1" s="72"/>
      <c r="C1" s="73" t="s">
        <v>220</v>
      </c>
      <c r="D1" s="73" t="s">
        <v>180</v>
      </c>
      <c r="E1" s="73" t="s">
        <v>398</v>
      </c>
      <c r="F1" s="73" t="s">
        <v>399</v>
      </c>
      <c r="G1" s="287" t="s">
        <v>400</v>
      </c>
    </row>
    <row r="2" spans="1:7" ht="25.5" customHeight="1">
      <c r="A2" s="71" t="s">
        <v>185</v>
      </c>
      <c r="B2" s="1056" t="s">
        <v>401</v>
      </c>
      <c r="C2" s="1057"/>
      <c r="D2" s="74"/>
      <c r="E2" s="74">
        <f>E16+E53+E65+E72+E83+E89+E92+E97+E104+E108+E111+E114+E118+E123+E127+E134+E142+E163+E168+E251+E267+E287+E302+E308+E324+E336+E341+E345+E348</f>
        <v>1834121771</v>
      </c>
      <c r="F2" s="74">
        <f>F16+F53+F65+F72+F83+F89+F92+F97+F104+F108+F111+F114+F118+F123+F127+F134+F142+F163+F168+F251+F267+F287+F302+F308+F324+F336+F341+F345+F348</f>
        <v>1566260110</v>
      </c>
      <c r="G2" s="74">
        <f>G16+G53+G65+G72+G83+G89+G92+G97+G104+G108+G111+G114+G118+G123+G127+G134+G142+G163+G168+G251+G267+G287+G302+G308+G324+G336+G341+G345+G348</f>
        <v>1547295674</v>
      </c>
    </row>
    <row r="3" spans="1:7" ht="15" customHeight="1">
      <c r="A3" s="1058"/>
      <c r="B3" s="1058"/>
      <c r="C3" s="1059"/>
      <c r="D3" s="254">
        <v>11</v>
      </c>
      <c r="E3" s="195">
        <f>E18+E19+E21+E23+E24+E26+E28+E29+E31+E32+E33+E35+E36+E37+E38+E39+E40+E41+E43+E46+E47+E48+E49+E51+E52+E55+E56+E58+E59+E60+E61+E63+E64+E67+E69+E70+E71+E74+E75+E76+E78+E79+E80+E82+E85+E86+E88+E106+E107+E110+E113+E116+E120+E122+E125+E129+E130+E132+E136+E137+E140+E141+E165+E166+E241+E304+E305+E307+E310+E313+E315+E317+E318+E320+E322+E323+E326+E328+E329+E330+E331+E333+E335+E338+E340+E343+E344+E350</f>
        <v>584662411</v>
      </c>
      <c r="F3" s="195">
        <f>F18+F19+F21+F23+F24+F26+F28+F29+F31+F32+F33+F35+F36+F37+F38+F39+F40+F41+F43+F46+F47+F48+F49+F51+F52+F55+F56+F58+F59+F60+F61+F63+F64+F67+F69+F70+F71+F74+F75+F76+F78+F79+F80+F82+F85+F86+F88+F106+F107+F110+F113+F116+F120+F122+F125+F129+F130+F132+F136+F137+F140+F141+F165+F166+F241+F304+F305+F307+F310+F313+F315+F317+F318+F320+F322+F323+F326+F328+F329+F330+F331+F333+F335+F338+F340+F343+F344+F350</f>
        <v>216316492</v>
      </c>
      <c r="G3" s="195">
        <f>G18+G19+G21+G23+G24+G26+G28+G29+G31+G32+G33+G35+G36+G37+G38+G39+G40+G41+G43+G46+G47+G48+G49+G51+G52+G55+G56+G58+G59+G60+G61+G63+G64+G67+G69+G70+G71+G74+G75+G76+G78+G79+G80+G82+G85+G86+G88+G106+G107+G110+G113+G116+G120+G122+G125+G129+G130+G132+G136+G137+G140+G141+G165+G166+G241+G304+G305+G307+G310+G313+G315+G317+G318+G320+G322+G323+G326+G328+G329+G330+G331+G333+G335+G338+G340+G343+G344+G350</f>
        <v>216775535</v>
      </c>
    </row>
    <row r="4" spans="1:7" ht="15" customHeight="1">
      <c r="A4" s="1060"/>
      <c r="B4" s="1060"/>
      <c r="C4" s="1061"/>
      <c r="D4" s="301">
        <v>12</v>
      </c>
      <c r="E4" s="255">
        <f>E99+E101+E138+E144+E147+E149+E151+E153+E155+E158+E161+E170+E172+E174+E177+E179+E182+E184+E186+E188+E191+E193+E195+E198+E200+E202+E204+E206+E208+E210+E213+E216+E218+E220+E222+E230+E233+E244+E246+E253+E254+E258+E262+E264+E269+E274+E276+E280+E284+E289+E292+E296+E299</f>
        <v>12791012</v>
      </c>
      <c r="F4" s="255">
        <f>F99+F101+F138+F144+F147+F149+F151+F153+F155+F158+F161+F170+F172+F174+F177+F179+F182+F184+F186+F188+F191+F193+F195+F198+F200+F202+F204+F206+F208+F210+F213+F216+F218+F220+F222+F230+F233+F244+F246+F253+F254+F258+F262+F264+F269+F274+F276+F280+F284+F289+F292+F296+F299</f>
        <v>13891368</v>
      </c>
      <c r="G4" s="255">
        <f>G99+G101+G138+G144+G147+G149+G151+G153+G155+G158+G161+G170+G172+G174+G177+G179+G182+G184+G186+G188+G191+G193+G195+G198+G200+G202+G204+G206+G208+G210+G213+G216+G218+G220+G222+G230+G233+G244+G246+G253+G254+G258+G262+G264+G269+G274+G276+G280+G284+G289+G292+G296+G299</f>
        <v>13891368</v>
      </c>
    </row>
    <row r="5" spans="1:7" ht="15" customHeight="1">
      <c r="A5" s="1060"/>
      <c r="B5" s="1060"/>
      <c r="C5" s="1061"/>
      <c r="D5" s="257" t="s">
        <v>267</v>
      </c>
      <c r="E5" s="256">
        <f>E3+E4</f>
        <v>597453423</v>
      </c>
      <c r="F5" s="256">
        <f t="shared" ref="F5:G5" si="0">F3+F4</f>
        <v>230207860</v>
      </c>
      <c r="G5" s="256">
        <f t="shared" si="0"/>
        <v>230666903</v>
      </c>
    </row>
    <row r="6" spans="1:7" s="243" customFormat="1" ht="15" customHeight="1">
      <c r="A6" s="1060"/>
      <c r="B6" s="1060"/>
      <c r="C6" s="1061"/>
      <c r="D6" s="253">
        <v>11</v>
      </c>
      <c r="E6" s="251">
        <f>E347+E352+E117</f>
        <v>240132155</v>
      </c>
      <c r="F6" s="251">
        <f>F347+F352+F117</f>
        <v>65000000</v>
      </c>
      <c r="G6" s="251">
        <f>G347+G352+G117</f>
        <v>63000000</v>
      </c>
    </row>
    <row r="7" spans="1:7" s="243" customFormat="1" ht="15" customHeight="1">
      <c r="A7" s="1060"/>
      <c r="B7" s="1060"/>
      <c r="C7" s="1061"/>
      <c r="D7" s="532">
        <v>563</v>
      </c>
      <c r="E7" s="533">
        <f>E249+E250</f>
        <v>418000000</v>
      </c>
      <c r="F7" s="533">
        <f t="shared" ref="F7:G7" si="1">F249+F250</f>
        <v>418000000</v>
      </c>
      <c r="G7" s="533">
        <f t="shared" si="1"/>
        <v>0</v>
      </c>
    </row>
    <row r="8" spans="1:7" s="243" customFormat="1" ht="15" customHeight="1">
      <c r="A8" s="1060"/>
      <c r="B8" s="1060"/>
      <c r="C8" s="1061"/>
      <c r="D8" s="500">
        <v>41</v>
      </c>
      <c r="E8" s="501">
        <f>E133</f>
        <v>468947</v>
      </c>
      <c r="F8" s="501">
        <f t="shared" ref="F8:G8" si="2">F133</f>
        <v>0</v>
      </c>
      <c r="G8" s="501">
        <f t="shared" si="2"/>
        <v>0</v>
      </c>
    </row>
    <row r="9" spans="1:7" ht="15" customHeight="1">
      <c r="A9" s="1060"/>
      <c r="B9" s="1060"/>
      <c r="C9" s="1061"/>
      <c r="D9" s="258">
        <v>43</v>
      </c>
      <c r="E9" s="255">
        <f>E124</f>
        <v>1100000</v>
      </c>
      <c r="F9" s="255">
        <f t="shared" ref="F9:G9" si="3">F124</f>
        <v>1100000</v>
      </c>
      <c r="G9" s="255">
        <f t="shared" si="3"/>
        <v>1100000</v>
      </c>
    </row>
    <row r="10" spans="1:7" ht="15" customHeight="1">
      <c r="A10" s="1060"/>
      <c r="B10" s="1060"/>
      <c r="C10" s="1061"/>
      <c r="D10" s="258">
        <v>51</v>
      </c>
      <c r="E10" s="255">
        <f>E27+E91+E94+E96+E100+E102+E139+E145+E148+E150+E152+E154+E156+E159+E162+E270+E275+E277+E281+E285</f>
        <v>5867246</v>
      </c>
      <c r="F10" s="255">
        <f>F27+F91+F94+F96+F100+F102+F139+F145+F148+F150+F152+F154+F156+F159+F162+F270+F275+F277+F281+F285</f>
        <v>852250</v>
      </c>
      <c r="G10" s="255">
        <f>G27+G91+G94+G96+G100+G102+G139+G145+G148+G150+G152+G154+G156+G159+G162+G270+G275+G277+G281+G285</f>
        <v>802250</v>
      </c>
    </row>
    <row r="11" spans="1:7" ht="15" customHeight="1">
      <c r="A11" s="1060"/>
      <c r="B11" s="1060"/>
      <c r="C11" s="1061"/>
      <c r="D11" s="302" t="str">
        <f t="shared" ref="D11:F11" si="4">D44</f>
        <v>52</v>
      </c>
      <c r="E11" s="255">
        <f>E44</f>
        <v>100000</v>
      </c>
      <c r="F11" s="255">
        <f t="shared" si="4"/>
        <v>100000</v>
      </c>
      <c r="G11" s="255">
        <f>G44</f>
        <v>100000</v>
      </c>
    </row>
    <row r="12" spans="1:7" ht="15" customHeight="1">
      <c r="A12" s="1060"/>
      <c r="B12" s="1060"/>
      <c r="C12" s="1061"/>
      <c r="D12" s="258">
        <v>559</v>
      </c>
      <c r="E12" s="252">
        <f>E271+E273+E278+E282+E286</f>
        <v>0</v>
      </c>
      <c r="F12" s="252">
        <f t="shared" ref="F12:G12" si="5">F271+F273+F278+F282+F286</f>
        <v>0</v>
      </c>
      <c r="G12" s="252">
        <f t="shared" si="5"/>
        <v>0</v>
      </c>
    </row>
    <row r="13" spans="1:7" ht="15" customHeight="1">
      <c r="A13" s="1060"/>
      <c r="B13" s="1060"/>
      <c r="C13" s="1061"/>
      <c r="D13" s="258">
        <v>561</v>
      </c>
      <c r="E13" s="252">
        <f>E256+E260+E266</f>
        <v>19000000</v>
      </c>
      <c r="F13" s="252">
        <f t="shared" ref="F13:G13" si="6">F256+F260+F266</f>
        <v>19000000</v>
      </c>
      <c r="G13" s="252">
        <f t="shared" si="6"/>
        <v>19000000</v>
      </c>
    </row>
    <row r="14" spans="1:7" ht="15" customHeight="1">
      <c r="A14" s="1060"/>
      <c r="B14" s="1060"/>
      <c r="C14" s="1061"/>
      <c r="D14" s="258">
        <v>563</v>
      </c>
      <c r="E14" s="255">
        <f>E171+E173+E175+E178+E180+E183+E185+E187+E189+E192+E194+E196+E199+E201+E203+E205+E207+E209+E211+E214+E217+E219+E221+E223+E225+E227+E228+E231+E234+E236+E237+E239+E242+E245+E247+E290+E294+E297+E300</f>
        <v>552000000</v>
      </c>
      <c r="F14" s="255">
        <f>F171+F173+F175+F178+F180+F183+F185+F187+F189+F192+F194+F196+F199+F201+F203+F205+F207+F209+F211+F214+F217+F219+F221+F223+F225+F227+F228+F231+F234+F236+F237+F239+F242+F245+F247+F290+F294+F297+F300</f>
        <v>832000000</v>
      </c>
      <c r="G14" s="255">
        <f>G171+G173+G175+G178+G180+G183+G185+G187+G189+G192+G194+G196+G199+G201+G203+G205+G207+G209+G211+G214+G217+G219+G221+G223+G225+G227+G228+G231+G234+G236+G237+G239+G242+G245+G247+G290+G294+G297+G300</f>
        <v>1232626521</v>
      </c>
    </row>
    <row r="15" spans="1:7" ht="25.5" customHeight="1">
      <c r="A15" s="1053" t="s">
        <v>268</v>
      </c>
      <c r="B15" s="1054"/>
      <c r="C15" s="1055"/>
      <c r="D15" s="75"/>
      <c r="E15" s="75">
        <f>E16+E53+E65+E72+E83+E89+E92+E97</f>
        <v>91119711</v>
      </c>
      <c r="F15" s="75">
        <f>F16+F53+F65+F72+F83+F89+F92+F97</f>
        <v>88665976</v>
      </c>
      <c r="G15" s="75">
        <f>G16+G53+G65+G72+G83+G89+G92+G97</f>
        <v>88615976</v>
      </c>
    </row>
    <row r="16" spans="1:7">
      <c r="A16" s="484" t="s">
        <v>186</v>
      </c>
      <c r="B16" s="485" t="s">
        <v>187</v>
      </c>
      <c r="C16" s="484" t="s">
        <v>232</v>
      </c>
      <c r="D16" s="297"/>
      <c r="E16" s="297">
        <f>E17+E20+E22+E25+E30+E34+E42+E45+E50</f>
        <v>76444911</v>
      </c>
      <c r="F16" s="297">
        <f>F17+F20+F22+F25+F30+F34+F42+F45+F50</f>
        <v>77726776</v>
      </c>
      <c r="G16" s="297">
        <f>G17+G20+G22+G25+G30+G34+G42+G45+G50</f>
        <v>77726776</v>
      </c>
    </row>
    <row r="17" spans="1:7">
      <c r="A17" s="40" t="s">
        <v>1</v>
      </c>
      <c r="B17" s="41" t="s">
        <v>2</v>
      </c>
      <c r="C17" s="42" t="s">
        <v>232</v>
      </c>
      <c r="D17" s="42" t="s">
        <v>0</v>
      </c>
      <c r="E17" s="43">
        <f>E18+E19</f>
        <v>53679911</v>
      </c>
      <c r="F17" s="43">
        <f t="shared" ref="F17:G17" si="7">F18+F19</f>
        <v>54079911</v>
      </c>
      <c r="G17" s="288">
        <f t="shared" si="7"/>
        <v>54079911</v>
      </c>
    </row>
    <row r="18" spans="1:7">
      <c r="A18" s="57" t="s">
        <v>3</v>
      </c>
      <c r="B18" s="88" t="s">
        <v>4</v>
      </c>
      <c r="C18" s="154" t="s">
        <v>232</v>
      </c>
      <c r="D18" s="154" t="s">
        <v>0</v>
      </c>
      <c r="E18" s="59">
        <v>53579911</v>
      </c>
      <c r="F18" s="59">
        <v>53879911</v>
      </c>
      <c r="G18" s="59">
        <v>53979911</v>
      </c>
    </row>
    <row r="19" spans="1:7">
      <c r="A19" s="57" t="s">
        <v>5</v>
      </c>
      <c r="B19" s="88" t="s">
        <v>6</v>
      </c>
      <c r="C19" s="154" t="s">
        <v>232</v>
      </c>
      <c r="D19" s="154" t="s">
        <v>0</v>
      </c>
      <c r="E19" s="59">
        <v>100000</v>
      </c>
      <c r="F19" s="59">
        <v>200000</v>
      </c>
      <c r="G19" s="59">
        <v>100000</v>
      </c>
    </row>
    <row r="20" spans="1:7">
      <c r="A20" s="40" t="s">
        <v>7</v>
      </c>
      <c r="B20" s="41" t="s">
        <v>8</v>
      </c>
      <c r="C20" s="42" t="s">
        <v>232</v>
      </c>
      <c r="D20" s="42" t="s">
        <v>0</v>
      </c>
      <c r="E20" s="43">
        <f>E21</f>
        <v>1700000</v>
      </c>
      <c r="F20" s="43">
        <f t="shared" ref="F20:G20" si="8">F21</f>
        <v>1700000</v>
      </c>
      <c r="G20" s="288">
        <f t="shared" si="8"/>
        <v>1700000</v>
      </c>
    </row>
    <row r="21" spans="1:7">
      <c r="A21" s="57" t="s">
        <v>9</v>
      </c>
      <c r="B21" s="88" t="s">
        <v>8</v>
      </c>
      <c r="C21" s="154" t="s">
        <v>232</v>
      </c>
      <c r="D21" s="154" t="s">
        <v>0</v>
      </c>
      <c r="E21" s="59">
        <v>1700000</v>
      </c>
      <c r="F21" s="59">
        <v>1700000</v>
      </c>
      <c r="G21" s="59">
        <v>1700000</v>
      </c>
    </row>
    <row r="22" spans="1:7">
      <c r="A22" s="40" t="s">
        <v>10</v>
      </c>
      <c r="B22" s="41" t="s">
        <v>11</v>
      </c>
      <c r="C22" s="42" t="s">
        <v>232</v>
      </c>
      <c r="D22" s="42" t="s">
        <v>0</v>
      </c>
      <c r="E22" s="43">
        <f>E23+E24</f>
        <v>9340000</v>
      </c>
      <c r="F22" s="43">
        <f t="shared" ref="F22:G22" si="9">F23+F24</f>
        <v>9350000</v>
      </c>
      <c r="G22" s="288">
        <f t="shared" si="9"/>
        <v>9350000</v>
      </c>
    </row>
    <row r="23" spans="1:7">
      <c r="A23" s="57" t="s">
        <v>12</v>
      </c>
      <c r="B23" s="88" t="s">
        <v>13</v>
      </c>
      <c r="C23" s="154" t="s">
        <v>232</v>
      </c>
      <c r="D23" s="154" t="s">
        <v>0</v>
      </c>
      <c r="E23" s="59">
        <v>8300000</v>
      </c>
      <c r="F23" s="59">
        <v>8310000</v>
      </c>
      <c r="G23" s="59">
        <v>8310000</v>
      </c>
    </row>
    <row r="24" spans="1:7">
      <c r="A24" s="57" t="s">
        <v>14</v>
      </c>
      <c r="B24" s="88" t="s">
        <v>15</v>
      </c>
      <c r="C24" s="154" t="s">
        <v>232</v>
      </c>
      <c r="D24" s="154" t="s">
        <v>0</v>
      </c>
      <c r="E24" s="59">
        <v>1040000</v>
      </c>
      <c r="F24" s="59">
        <v>1040000</v>
      </c>
      <c r="G24" s="59">
        <v>1040000</v>
      </c>
    </row>
    <row r="25" spans="1:7">
      <c r="A25" s="40" t="s">
        <v>16</v>
      </c>
      <c r="B25" s="41" t="s">
        <v>17</v>
      </c>
      <c r="C25" s="42" t="s">
        <v>232</v>
      </c>
      <c r="D25" s="42" t="s">
        <v>0</v>
      </c>
      <c r="E25" s="43">
        <f t="shared" ref="E25" si="10">SUM(E26:E29)</f>
        <v>4100000</v>
      </c>
      <c r="F25" s="43">
        <f>SUM(F26:F29)</f>
        <v>4380000</v>
      </c>
      <c r="G25" s="288">
        <f>SUM(G26:G29)</f>
        <v>4380000</v>
      </c>
    </row>
    <row r="26" spans="1:7">
      <c r="A26" s="57" t="s">
        <v>18</v>
      </c>
      <c r="B26" s="88" t="s">
        <v>19</v>
      </c>
      <c r="C26" s="154" t="s">
        <v>232</v>
      </c>
      <c r="D26" s="154" t="s">
        <v>0</v>
      </c>
      <c r="E26" s="59">
        <v>1800000</v>
      </c>
      <c r="F26" s="59">
        <v>2000000</v>
      </c>
      <c r="G26" s="59">
        <v>2000000</v>
      </c>
    </row>
    <row r="27" spans="1:7">
      <c r="A27" s="60" t="s">
        <v>18</v>
      </c>
      <c r="B27" s="155" t="s">
        <v>19</v>
      </c>
      <c r="C27" s="156"/>
      <c r="D27" s="156" t="s">
        <v>235</v>
      </c>
      <c r="E27" s="58">
        <v>0</v>
      </c>
      <c r="F27" s="58">
        <v>0</v>
      </c>
      <c r="G27" s="290">
        <v>0</v>
      </c>
    </row>
    <row r="28" spans="1:7">
      <c r="A28" s="57" t="s">
        <v>20</v>
      </c>
      <c r="B28" s="88" t="s">
        <v>21</v>
      </c>
      <c r="C28" s="154" t="s">
        <v>232</v>
      </c>
      <c r="D28" s="154" t="s">
        <v>0</v>
      </c>
      <c r="E28" s="59">
        <v>2200000</v>
      </c>
      <c r="F28" s="59">
        <v>2280000</v>
      </c>
      <c r="G28" s="59">
        <v>2280000</v>
      </c>
    </row>
    <row r="29" spans="1:7">
      <c r="A29" s="57" t="s">
        <v>22</v>
      </c>
      <c r="B29" s="88" t="s">
        <v>23</v>
      </c>
      <c r="C29" s="154" t="s">
        <v>232</v>
      </c>
      <c r="D29" s="154" t="s">
        <v>0</v>
      </c>
      <c r="E29" s="59">
        <v>100000</v>
      </c>
      <c r="F29" s="59">
        <v>100000</v>
      </c>
      <c r="G29" s="59">
        <v>100000</v>
      </c>
    </row>
    <row r="30" spans="1:7">
      <c r="A30" s="40" t="s">
        <v>24</v>
      </c>
      <c r="B30" s="41" t="s">
        <v>25</v>
      </c>
      <c r="C30" s="42" t="s">
        <v>232</v>
      </c>
      <c r="D30" s="42" t="s">
        <v>0</v>
      </c>
      <c r="E30" s="43">
        <f>E31+E32+E33</f>
        <v>1600000</v>
      </c>
      <c r="F30" s="43">
        <f t="shared" ref="F30:G30" si="11">F31+F32+F33</f>
        <v>1900000</v>
      </c>
      <c r="G30" s="43">
        <f t="shared" si="11"/>
        <v>1900000</v>
      </c>
    </row>
    <row r="31" spans="1:7">
      <c r="A31" s="57" t="s">
        <v>26</v>
      </c>
      <c r="B31" s="88" t="s">
        <v>27</v>
      </c>
      <c r="C31" s="154" t="s">
        <v>232</v>
      </c>
      <c r="D31" s="154" t="s">
        <v>0</v>
      </c>
      <c r="E31" s="59">
        <v>1100000</v>
      </c>
      <c r="F31" s="59">
        <v>1130000</v>
      </c>
      <c r="G31" s="59">
        <v>1130000</v>
      </c>
    </row>
    <row r="32" spans="1:7">
      <c r="A32" s="57" t="s">
        <v>28</v>
      </c>
      <c r="B32" s="157" t="s">
        <v>29</v>
      </c>
      <c r="C32" s="154" t="s">
        <v>232</v>
      </c>
      <c r="D32" s="154" t="s">
        <v>0</v>
      </c>
      <c r="E32" s="59">
        <v>400000</v>
      </c>
      <c r="F32" s="59">
        <v>590000</v>
      </c>
      <c r="G32" s="59">
        <v>590000</v>
      </c>
    </row>
    <row r="33" spans="1:7">
      <c r="A33" s="57" t="s">
        <v>32</v>
      </c>
      <c r="B33" s="88" t="s">
        <v>33</v>
      </c>
      <c r="C33" s="154" t="s">
        <v>232</v>
      </c>
      <c r="D33" s="154" t="s">
        <v>0</v>
      </c>
      <c r="E33" s="59">
        <v>100000</v>
      </c>
      <c r="F33" s="59">
        <v>180000</v>
      </c>
      <c r="G33" s="59">
        <v>180000</v>
      </c>
    </row>
    <row r="34" spans="1:7">
      <c r="A34" s="40" t="s">
        <v>34</v>
      </c>
      <c r="B34" s="41" t="s">
        <v>35</v>
      </c>
      <c r="C34" s="42" t="s">
        <v>232</v>
      </c>
      <c r="D34" s="42" t="s">
        <v>0</v>
      </c>
      <c r="E34" s="43">
        <f>E35+E36+E37+E38+E39+E40+E41</f>
        <v>4925000</v>
      </c>
      <c r="F34" s="43">
        <f t="shared" ref="F34:G34" si="12">F35+F36+F37+F38+F39+F40+F41</f>
        <v>5126865</v>
      </c>
      <c r="G34" s="43">
        <f t="shared" si="12"/>
        <v>5126865</v>
      </c>
    </row>
    <row r="35" spans="1:7">
      <c r="A35" s="57" t="s">
        <v>36</v>
      </c>
      <c r="B35" s="88" t="s">
        <v>37</v>
      </c>
      <c r="C35" s="154" t="s">
        <v>232</v>
      </c>
      <c r="D35" s="154" t="s">
        <v>0</v>
      </c>
      <c r="E35" s="59">
        <v>1500000</v>
      </c>
      <c r="F35" s="59">
        <v>2000000</v>
      </c>
      <c r="G35" s="59">
        <v>2000000</v>
      </c>
    </row>
    <row r="36" spans="1:7">
      <c r="A36" s="57" t="s">
        <v>40</v>
      </c>
      <c r="B36" s="88" t="s">
        <v>41</v>
      </c>
      <c r="C36" s="154" t="s">
        <v>232</v>
      </c>
      <c r="D36" s="154" t="s">
        <v>0</v>
      </c>
      <c r="E36" s="59">
        <v>750000</v>
      </c>
      <c r="F36" s="59">
        <v>355000</v>
      </c>
      <c r="G36" s="59">
        <v>355000</v>
      </c>
    </row>
    <row r="37" spans="1:7">
      <c r="A37" s="57" t="s">
        <v>42</v>
      </c>
      <c r="B37" s="88" t="s">
        <v>43</v>
      </c>
      <c r="C37" s="154" t="s">
        <v>232</v>
      </c>
      <c r="D37" s="154" t="s">
        <v>0</v>
      </c>
      <c r="E37" s="59">
        <v>200000</v>
      </c>
      <c r="F37" s="59">
        <v>220000</v>
      </c>
      <c r="G37" s="59">
        <v>220000</v>
      </c>
    </row>
    <row r="38" spans="1:7">
      <c r="A38" s="57" t="s">
        <v>44</v>
      </c>
      <c r="B38" s="88" t="s">
        <v>45</v>
      </c>
      <c r="C38" s="154" t="s">
        <v>232</v>
      </c>
      <c r="D38" s="154" t="s">
        <v>0</v>
      </c>
      <c r="E38" s="59">
        <v>1500000</v>
      </c>
      <c r="F38" s="59">
        <v>1500000</v>
      </c>
      <c r="G38" s="59">
        <v>1500000</v>
      </c>
    </row>
    <row r="39" spans="1:7">
      <c r="A39" s="57" t="s">
        <v>46</v>
      </c>
      <c r="B39" s="88" t="s">
        <v>47</v>
      </c>
      <c r="C39" s="154" t="s">
        <v>232</v>
      </c>
      <c r="D39" s="154" t="s">
        <v>0</v>
      </c>
      <c r="E39" s="59">
        <v>100000</v>
      </c>
      <c r="F39" s="59">
        <v>420000</v>
      </c>
      <c r="G39" s="59">
        <v>420000</v>
      </c>
    </row>
    <row r="40" spans="1:7">
      <c r="A40" s="57" t="s">
        <v>48</v>
      </c>
      <c r="B40" s="88" t="s">
        <v>49</v>
      </c>
      <c r="C40" s="154" t="s">
        <v>232</v>
      </c>
      <c r="D40" s="154" t="s">
        <v>0</v>
      </c>
      <c r="E40" s="59">
        <v>800000</v>
      </c>
      <c r="F40" s="59">
        <v>386865</v>
      </c>
      <c r="G40" s="59">
        <v>386865</v>
      </c>
    </row>
    <row r="41" spans="1:7">
      <c r="A41" s="57" t="s">
        <v>52</v>
      </c>
      <c r="B41" s="88" t="s">
        <v>53</v>
      </c>
      <c r="C41" s="154" t="s">
        <v>232</v>
      </c>
      <c r="D41" s="154" t="s">
        <v>0</v>
      </c>
      <c r="E41" s="59">
        <v>75000</v>
      </c>
      <c r="F41" s="59">
        <v>245000</v>
      </c>
      <c r="G41" s="59">
        <v>245000</v>
      </c>
    </row>
    <row r="42" spans="1:7">
      <c r="A42" s="40" t="s">
        <v>54</v>
      </c>
      <c r="B42" s="41" t="s">
        <v>55</v>
      </c>
      <c r="C42" s="42" t="s">
        <v>232</v>
      </c>
      <c r="D42" s="42" t="s">
        <v>0</v>
      </c>
      <c r="E42" s="43">
        <f>E43+E44</f>
        <v>300000</v>
      </c>
      <c r="F42" s="43">
        <f>F43+F44</f>
        <v>310000</v>
      </c>
      <c r="G42" s="288">
        <f>G43+G44</f>
        <v>310000</v>
      </c>
    </row>
    <row r="43" spans="1:7">
      <c r="A43" s="57" t="s">
        <v>56</v>
      </c>
      <c r="B43" s="88" t="s">
        <v>55</v>
      </c>
      <c r="C43" s="154" t="s">
        <v>232</v>
      </c>
      <c r="D43" s="154" t="s">
        <v>0</v>
      </c>
      <c r="E43" s="59">
        <v>200000</v>
      </c>
      <c r="F43" s="59">
        <v>210000</v>
      </c>
      <c r="G43" s="59">
        <v>210000</v>
      </c>
    </row>
    <row r="44" spans="1:7">
      <c r="A44" s="60">
        <v>3241</v>
      </c>
      <c r="B44" s="155" t="s">
        <v>55</v>
      </c>
      <c r="C44" s="156" t="s">
        <v>233</v>
      </c>
      <c r="D44" s="156" t="s">
        <v>264</v>
      </c>
      <c r="E44" s="58">
        <v>100000</v>
      </c>
      <c r="F44" s="58">
        <v>100000</v>
      </c>
      <c r="G44" s="58">
        <v>100000</v>
      </c>
    </row>
    <row r="45" spans="1:7">
      <c r="A45" s="40" t="s">
        <v>57</v>
      </c>
      <c r="B45" s="41" t="s">
        <v>58</v>
      </c>
      <c r="C45" s="42" t="s">
        <v>232</v>
      </c>
      <c r="D45" s="42" t="s">
        <v>0</v>
      </c>
      <c r="E45" s="43">
        <f>+E46+E47+E48+E49</f>
        <v>700000</v>
      </c>
      <c r="F45" s="43">
        <f t="shared" ref="F45:G45" si="13">+F46+F47+F48+F49</f>
        <v>780000</v>
      </c>
      <c r="G45" s="43">
        <f t="shared" si="13"/>
        <v>780000</v>
      </c>
    </row>
    <row r="46" spans="1:7">
      <c r="A46" s="57" t="s">
        <v>63</v>
      </c>
      <c r="B46" s="88" t="s">
        <v>64</v>
      </c>
      <c r="C46" s="154" t="s">
        <v>232</v>
      </c>
      <c r="D46" s="154" t="s">
        <v>0</v>
      </c>
      <c r="E46" s="59">
        <v>400000</v>
      </c>
      <c r="F46" s="59">
        <v>450000</v>
      </c>
      <c r="G46" s="59">
        <v>450000</v>
      </c>
    </row>
    <row r="47" spans="1:7">
      <c r="A47" s="57" t="s">
        <v>65</v>
      </c>
      <c r="B47" s="88" t="s">
        <v>66</v>
      </c>
      <c r="C47" s="154" t="s">
        <v>232</v>
      </c>
      <c r="D47" s="154" t="s">
        <v>0</v>
      </c>
      <c r="E47" s="59">
        <v>100000</v>
      </c>
      <c r="F47" s="59">
        <v>100000</v>
      </c>
      <c r="G47" s="59">
        <v>100000</v>
      </c>
    </row>
    <row r="48" spans="1:7">
      <c r="A48" s="57" t="s">
        <v>67</v>
      </c>
      <c r="B48" s="88" t="s">
        <v>68</v>
      </c>
      <c r="C48" s="154" t="s">
        <v>232</v>
      </c>
      <c r="D48" s="154" t="s">
        <v>0</v>
      </c>
      <c r="E48" s="59">
        <v>100000</v>
      </c>
      <c r="F48" s="59">
        <v>130000</v>
      </c>
      <c r="G48" s="59">
        <v>130000</v>
      </c>
    </row>
    <row r="49" spans="1:7">
      <c r="A49" s="57" t="s">
        <v>69</v>
      </c>
      <c r="B49" s="88" t="s">
        <v>58</v>
      </c>
      <c r="C49" s="154" t="s">
        <v>232</v>
      </c>
      <c r="D49" s="154" t="s">
        <v>0</v>
      </c>
      <c r="E49" s="59">
        <v>100000</v>
      </c>
      <c r="F49" s="59">
        <v>100000</v>
      </c>
      <c r="G49" s="59">
        <v>100000</v>
      </c>
    </row>
    <row r="50" spans="1:7">
      <c r="A50" s="40" t="s">
        <v>70</v>
      </c>
      <c r="B50" s="41" t="s">
        <v>71</v>
      </c>
      <c r="C50" s="42" t="s">
        <v>232</v>
      </c>
      <c r="D50" s="42" t="s">
        <v>0</v>
      </c>
      <c r="E50" s="43">
        <f>E51+E52</f>
        <v>100000</v>
      </c>
      <c r="F50" s="43">
        <f t="shared" ref="F50:G50" si="14">F51+F52</f>
        <v>100000</v>
      </c>
      <c r="G50" s="43">
        <f t="shared" si="14"/>
        <v>100000</v>
      </c>
    </row>
    <row r="51" spans="1:7">
      <c r="A51" s="57" t="s">
        <v>72</v>
      </c>
      <c r="B51" s="88" t="s">
        <v>73</v>
      </c>
      <c r="C51" s="154" t="s">
        <v>232</v>
      </c>
      <c r="D51" s="154" t="s">
        <v>0</v>
      </c>
      <c r="E51" s="59">
        <v>50000</v>
      </c>
      <c r="F51" s="59">
        <v>50000</v>
      </c>
      <c r="G51" s="59">
        <v>50000</v>
      </c>
    </row>
    <row r="52" spans="1:7">
      <c r="A52" s="57" t="s">
        <v>74</v>
      </c>
      <c r="B52" s="88" t="s">
        <v>75</v>
      </c>
      <c r="C52" s="154" t="s">
        <v>232</v>
      </c>
      <c r="D52" s="154" t="s">
        <v>0</v>
      </c>
      <c r="E52" s="59">
        <v>50000</v>
      </c>
      <c r="F52" s="59">
        <v>50000</v>
      </c>
      <c r="G52" s="59">
        <v>50000</v>
      </c>
    </row>
    <row r="53" spans="1:7">
      <c r="A53" s="484" t="s">
        <v>188</v>
      </c>
      <c r="B53" s="485" t="s">
        <v>87</v>
      </c>
      <c r="C53" s="484" t="s">
        <v>227</v>
      </c>
      <c r="D53" s="297"/>
      <c r="E53" s="297">
        <f>E54+E57+E62</f>
        <v>7030000</v>
      </c>
      <c r="F53" s="297">
        <f>F54+F57+F62</f>
        <v>5550000</v>
      </c>
      <c r="G53" s="297">
        <f>G54+G57+G62</f>
        <v>5550000</v>
      </c>
    </row>
    <row r="54" spans="1:7">
      <c r="A54" s="40" t="s">
        <v>24</v>
      </c>
      <c r="B54" s="41" t="s">
        <v>25</v>
      </c>
      <c r="C54" s="42" t="s">
        <v>227</v>
      </c>
      <c r="D54" s="42" t="s">
        <v>0</v>
      </c>
      <c r="E54" s="43">
        <f>E55+E56</f>
        <v>200000</v>
      </c>
      <c r="F54" s="43">
        <f>F55+F56</f>
        <v>200000</v>
      </c>
      <c r="G54" s="288">
        <f>G55+G56</f>
        <v>200000</v>
      </c>
    </row>
    <row r="55" spans="1:7">
      <c r="A55" s="57" t="s">
        <v>30</v>
      </c>
      <c r="B55" s="88" t="s">
        <v>438</v>
      </c>
      <c r="C55" s="154" t="s">
        <v>227</v>
      </c>
      <c r="D55" s="154" t="s">
        <v>0</v>
      </c>
      <c r="E55" s="59">
        <v>100000</v>
      </c>
      <c r="F55" s="59">
        <v>100000</v>
      </c>
      <c r="G55" s="289">
        <v>100000</v>
      </c>
    </row>
    <row r="56" spans="1:7">
      <c r="A56" s="57" t="s">
        <v>32</v>
      </c>
      <c r="B56" s="88" t="s">
        <v>33</v>
      </c>
      <c r="C56" s="154" t="s">
        <v>227</v>
      </c>
      <c r="D56" s="154" t="s">
        <v>0</v>
      </c>
      <c r="E56" s="59">
        <v>100000</v>
      </c>
      <c r="F56" s="59">
        <v>100000</v>
      </c>
      <c r="G56" s="289">
        <v>100000</v>
      </c>
    </row>
    <row r="57" spans="1:7">
      <c r="A57" s="40" t="s">
        <v>34</v>
      </c>
      <c r="B57" s="41" t="s">
        <v>35</v>
      </c>
      <c r="C57" s="42" t="s">
        <v>227</v>
      </c>
      <c r="D57" s="42" t="s">
        <v>0</v>
      </c>
      <c r="E57" s="43">
        <f>E58+E59+E60+E61</f>
        <v>3830000</v>
      </c>
      <c r="F57" s="43">
        <f t="shared" ref="F57:G57" si="15">F58+F59+F60+F61</f>
        <v>3650000</v>
      </c>
      <c r="G57" s="43">
        <f t="shared" si="15"/>
        <v>3650000</v>
      </c>
    </row>
    <row r="58" spans="1:7">
      <c r="A58" s="57" t="s">
        <v>38</v>
      </c>
      <c r="B58" s="88" t="s">
        <v>39</v>
      </c>
      <c r="C58" s="154" t="s">
        <v>227</v>
      </c>
      <c r="D58" s="154" t="s">
        <v>0</v>
      </c>
      <c r="E58" s="59">
        <v>1000000</v>
      </c>
      <c r="F58" s="59">
        <v>1000000</v>
      </c>
      <c r="G58" s="289">
        <v>1000000</v>
      </c>
    </row>
    <row r="59" spans="1:7">
      <c r="A59" s="57" t="s">
        <v>44</v>
      </c>
      <c r="B59" s="88" t="s">
        <v>45</v>
      </c>
      <c r="C59" s="154" t="s">
        <v>227</v>
      </c>
      <c r="D59" s="154" t="s">
        <v>0</v>
      </c>
      <c r="E59" s="59">
        <v>1600000</v>
      </c>
      <c r="F59" s="59">
        <v>1600000</v>
      </c>
      <c r="G59" s="289">
        <v>1600000</v>
      </c>
    </row>
    <row r="60" spans="1:7">
      <c r="A60" s="57" t="s">
        <v>48</v>
      </c>
      <c r="B60" s="88" t="s">
        <v>49</v>
      </c>
      <c r="C60" s="154" t="s">
        <v>227</v>
      </c>
      <c r="D60" s="154" t="s">
        <v>0</v>
      </c>
      <c r="E60" s="59">
        <v>50000</v>
      </c>
      <c r="F60" s="59">
        <v>50000</v>
      </c>
      <c r="G60" s="289">
        <v>50000</v>
      </c>
    </row>
    <row r="61" spans="1:7">
      <c r="A61" s="57" t="s">
        <v>50</v>
      </c>
      <c r="B61" s="88" t="s">
        <v>51</v>
      </c>
      <c r="C61" s="154" t="s">
        <v>227</v>
      </c>
      <c r="D61" s="154" t="s">
        <v>0</v>
      </c>
      <c r="E61" s="59">
        <v>1180000</v>
      </c>
      <c r="F61" s="59">
        <v>1000000</v>
      </c>
      <c r="G61" s="289">
        <v>1000000</v>
      </c>
    </row>
    <row r="62" spans="1:7">
      <c r="A62" s="40" t="s">
        <v>88</v>
      </c>
      <c r="B62" s="41" t="s">
        <v>89</v>
      </c>
      <c r="C62" s="42" t="s">
        <v>227</v>
      </c>
      <c r="D62" s="42" t="s">
        <v>0</v>
      </c>
      <c r="E62" s="43">
        <f>E63+E64</f>
        <v>3000000</v>
      </c>
      <c r="F62" s="43">
        <f>F63+F64</f>
        <v>1700000</v>
      </c>
      <c r="G62" s="288">
        <f>G63+G64</f>
        <v>1700000</v>
      </c>
    </row>
    <row r="63" spans="1:7">
      <c r="A63" s="57" t="s">
        <v>90</v>
      </c>
      <c r="B63" s="88" t="s">
        <v>91</v>
      </c>
      <c r="C63" s="154" t="s">
        <v>227</v>
      </c>
      <c r="D63" s="154" t="s">
        <v>0</v>
      </c>
      <c r="E63" s="59">
        <v>2750000</v>
      </c>
      <c r="F63" s="59">
        <v>1600000</v>
      </c>
      <c r="G63" s="289">
        <v>1600000</v>
      </c>
    </row>
    <row r="64" spans="1:7">
      <c r="A64" s="57" t="s">
        <v>92</v>
      </c>
      <c r="B64" s="88" t="s">
        <v>93</v>
      </c>
      <c r="C64" s="154" t="s">
        <v>227</v>
      </c>
      <c r="D64" s="154" t="s">
        <v>0</v>
      </c>
      <c r="E64" s="59">
        <v>250000</v>
      </c>
      <c r="F64" s="59">
        <v>100000</v>
      </c>
      <c r="G64" s="289">
        <v>100000</v>
      </c>
    </row>
    <row r="65" spans="1:7">
      <c r="A65" s="484" t="s">
        <v>189</v>
      </c>
      <c r="B65" s="485" t="s">
        <v>190</v>
      </c>
      <c r="C65" s="484" t="s">
        <v>227</v>
      </c>
      <c r="D65" s="297"/>
      <c r="E65" s="297">
        <f>E66+E68</f>
        <v>800000</v>
      </c>
      <c r="F65" s="297">
        <f t="shared" ref="F65:G65" si="16">F66+F68</f>
        <v>660000</v>
      </c>
      <c r="G65" s="297">
        <f t="shared" si="16"/>
        <v>660000</v>
      </c>
    </row>
    <row r="66" spans="1:7">
      <c r="A66" s="40" t="s">
        <v>34</v>
      </c>
      <c r="B66" s="41" t="s">
        <v>35</v>
      </c>
      <c r="C66" s="42" t="s">
        <v>227</v>
      </c>
      <c r="D66" s="42" t="s">
        <v>0</v>
      </c>
      <c r="E66" s="43">
        <f>E67</f>
        <v>400000</v>
      </c>
      <c r="F66" s="43">
        <f>F67</f>
        <v>240000</v>
      </c>
      <c r="G66" s="288">
        <f>G67</f>
        <v>240000</v>
      </c>
    </row>
    <row r="67" spans="1:7">
      <c r="A67" s="57" t="s">
        <v>38</v>
      </c>
      <c r="B67" s="88" t="s">
        <v>39</v>
      </c>
      <c r="C67" s="154" t="s">
        <v>227</v>
      </c>
      <c r="D67" s="154" t="s">
        <v>0</v>
      </c>
      <c r="E67" s="59">
        <v>400000</v>
      </c>
      <c r="F67" s="59">
        <v>240000</v>
      </c>
      <c r="G67" s="289">
        <v>240000</v>
      </c>
    </row>
    <row r="68" spans="1:7">
      <c r="A68" s="40" t="s">
        <v>88</v>
      </c>
      <c r="B68" s="41" t="s">
        <v>89</v>
      </c>
      <c r="C68" s="42" t="s">
        <v>227</v>
      </c>
      <c r="D68" s="42" t="s">
        <v>0</v>
      </c>
      <c r="E68" s="43">
        <f>E69+E70+E71</f>
        <v>400000</v>
      </c>
      <c r="F68" s="43">
        <f t="shared" ref="F68:G68" si="17">F69+F70+F71</f>
        <v>420000</v>
      </c>
      <c r="G68" s="43">
        <f t="shared" si="17"/>
        <v>420000</v>
      </c>
    </row>
    <row r="69" spans="1:7">
      <c r="A69" s="57" t="s">
        <v>90</v>
      </c>
      <c r="B69" s="88" t="s">
        <v>91</v>
      </c>
      <c r="C69" s="154" t="s">
        <v>227</v>
      </c>
      <c r="D69" s="154" t="s">
        <v>0</v>
      </c>
      <c r="E69" s="59">
        <v>100000</v>
      </c>
      <c r="F69" s="59">
        <v>120000</v>
      </c>
      <c r="G69" s="289">
        <v>120000</v>
      </c>
    </row>
    <row r="70" spans="1:7">
      <c r="A70" s="57" t="s">
        <v>92</v>
      </c>
      <c r="B70" s="88" t="s">
        <v>93</v>
      </c>
      <c r="C70" s="154" t="s">
        <v>227</v>
      </c>
      <c r="D70" s="154" t="s">
        <v>0</v>
      </c>
      <c r="E70" s="59">
        <v>60000</v>
      </c>
      <c r="F70" s="59">
        <v>60000</v>
      </c>
      <c r="G70" s="289">
        <v>60000</v>
      </c>
    </row>
    <row r="71" spans="1:7">
      <c r="A71" s="57" t="s">
        <v>94</v>
      </c>
      <c r="B71" s="88" t="s">
        <v>95</v>
      </c>
      <c r="C71" s="154" t="s">
        <v>227</v>
      </c>
      <c r="D71" s="154" t="s">
        <v>0</v>
      </c>
      <c r="E71" s="59">
        <v>240000</v>
      </c>
      <c r="F71" s="59">
        <v>240000</v>
      </c>
      <c r="G71" s="289">
        <v>240000</v>
      </c>
    </row>
    <row r="72" spans="1:7">
      <c r="A72" s="484" t="s">
        <v>191</v>
      </c>
      <c r="B72" s="485" t="s">
        <v>98</v>
      </c>
      <c r="C72" s="484" t="s">
        <v>232</v>
      </c>
      <c r="D72" s="297"/>
      <c r="E72" s="297">
        <f t="shared" ref="E72:G72" si="18">E73+E77+E81</f>
        <v>3320000</v>
      </c>
      <c r="F72" s="297">
        <f t="shared" si="18"/>
        <v>3529200</v>
      </c>
      <c r="G72" s="297">
        <f t="shared" si="18"/>
        <v>3529200</v>
      </c>
    </row>
    <row r="73" spans="1:7">
      <c r="A73" s="40" t="s">
        <v>24</v>
      </c>
      <c r="B73" s="41" t="s">
        <v>25</v>
      </c>
      <c r="C73" s="42" t="s">
        <v>232</v>
      </c>
      <c r="D73" s="42" t="s">
        <v>0</v>
      </c>
      <c r="E73" s="43">
        <f>E74+E75+E76</f>
        <v>1150000</v>
      </c>
      <c r="F73" s="43">
        <f>F74+F75+F76</f>
        <v>1080000</v>
      </c>
      <c r="G73" s="288">
        <f>G74+G75+G76</f>
        <v>1080000</v>
      </c>
    </row>
    <row r="74" spans="1:7">
      <c r="A74" s="57" t="s">
        <v>28</v>
      </c>
      <c r="B74" s="88" t="s">
        <v>29</v>
      </c>
      <c r="C74" s="154" t="s">
        <v>232</v>
      </c>
      <c r="D74" s="154" t="s">
        <v>0</v>
      </c>
      <c r="E74" s="59">
        <v>900000</v>
      </c>
      <c r="F74" s="59">
        <v>800000</v>
      </c>
      <c r="G74" s="289">
        <v>800000</v>
      </c>
    </row>
    <row r="75" spans="1:7">
      <c r="A75" s="57" t="s">
        <v>30</v>
      </c>
      <c r="B75" s="88" t="s">
        <v>438</v>
      </c>
      <c r="C75" s="154" t="s">
        <v>232</v>
      </c>
      <c r="D75" s="154" t="s">
        <v>0</v>
      </c>
      <c r="E75" s="59">
        <v>50000</v>
      </c>
      <c r="F75" s="59">
        <v>60000</v>
      </c>
      <c r="G75" s="289">
        <v>60000</v>
      </c>
    </row>
    <row r="76" spans="1:7">
      <c r="A76" s="57" t="s">
        <v>32</v>
      </c>
      <c r="B76" s="88" t="s">
        <v>33</v>
      </c>
      <c r="C76" s="154" t="s">
        <v>232</v>
      </c>
      <c r="D76" s="154" t="s">
        <v>0</v>
      </c>
      <c r="E76" s="59">
        <v>200000</v>
      </c>
      <c r="F76" s="59">
        <v>220000</v>
      </c>
      <c r="G76" s="289">
        <v>220000</v>
      </c>
    </row>
    <row r="77" spans="1:7">
      <c r="A77" s="40" t="s">
        <v>34</v>
      </c>
      <c r="B77" s="41" t="s">
        <v>35</v>
      </c>
      <c r="C77" s="42" t="s">
        <v>232</v>
      </c>
      <c r="D77" s="42" t="s">
        <v>0</v>
      </c>
      <c r="E77" s="43">
        <f>E78+E79+E80</f>
        <v>2050000</v>
      </c>
      <c r="F77" s="43">
        <f>F78+F79+F80</f>
        <v>2329200</v>
      </c>
      <c r="G77" s="288">
        <f>G78+G79+G80</f>
        <v>2329200</v>
      </c>
    </row>
    <row r="78" spans="1:7">
      <c r="A78" s="57" t="s">
        <v>38</v>
      </c>
      <c r="B78" s="88" t="s">
        <v>39</v>
      </c>
      <c r="C78" s="154" t="s">
        <v>232</v>
      </c>
      <c r="D78" s="154" t="s">
        <v>0</v>
      </c>
      <c r="E78" s="59">
        <v>600000</v>
      </c>
      <c r="F78" s="59">
        <v>600000</v>
      </c>
      <c r="G78" s="289">
        <v>600000</v>
      </c>
    </row>
    <row r="79" spans="1:7">
      <c r="A79" s="57" t="s">
        <v>44</v>
      </c>
      <c r="B79" s="88" t="s">
        <v>45</v>
      </c>
      <c r="C79" s="154" t="s">
        <v>232</v>
      </c>
      <c r="D79" s="154" t="s">
        <v>0</v>
      </c>
      <c r="E79" s="59">
        <v>1400000</v>
      </c>
      <c r="F79" s="59">
        <v>1659200</v>
      </c>
      <c r="G79" s="289">
        <v>1659200</v>
      </c>
    </row>
    <row r="80" spans="1:7">
      <c r="A80" s="57" t="s">
        <v>52</v>
      </c>
      <c r="B80" s="88" t="s">
        <v>53</v>
      </c>
      <c r="C80" s="154" t="s">
        <v>232</v>
      </c>
      <c r="D80" s="154" t="s">
        <v>0</v>
      </c>
      <c r="E80" s="59">
        <v>50000</v>
      </c>
      <c r="F80" s="59">
        <v>70000</v>
      </c>
      <c r="G80" s="289">
        <v>70000</v>
      </c>
    </row>
    <row r="81" spans="1:7">
      <c r="A81" s="40" t="s">
        <v>57</v>
      </c>
      <c r="B81" s="41" t="s">
        <v>58</v>
      </c>
      <c r="C81" s="42" t="s">
        <v>232</v>
      </c>
      <c r="D81" s="42" t="s">
        <v>0</v>
      </c>
      <c r="E81" s="43">
        <f>E82</f>
        <v>120000</v>
      </c>
      <c r="F81" s="43">
        <f>F82</f>
        <v>120000</v>
      </c>
      <c r="G81" s="288">
        <f>G82</f>
        <v>120000</v>
      </c>
    </row>
    <row r="82" spans="1:7">
      <c r="A82" s="57" t="s">
        <v>61</v>
      </c>
      <c r="B82" s="88" t="s">
        <v>62</v>
      </c>
      <c r="C82" s="154" t="s">
        <v>232</v>
      </c>
      <c r="D82" s="154" t="s">
        <v>0</v>
      </c>
      <c r="E82" s="59">
        <v>120000</v>
      </c>
      <c r="F82" s="59">
        <v>120000</v>
      </c>
      <c r="G82" s="289">
        <v>120000</v>
      </c>
    </row>
    <row r="83" spans="1:7">
      <c r="A83" s="484" t="s">
        <v>192</v>
      </c>
      <c r="B83" s="485" t="s">
        <v>193</v>
      </c>
      <c r="C83" s="484" t="s">
        <v>233</v>
      </c>
      <c r="D83" s="297"/>
      <c r="E83" s="297">
        <f>E84+E87</f>
        <v>1050000</v>
      </c>
      <c r="F83" s="297">
        <f t="shared" ref="F83:G83" si="19">F84+F87</f>
        <v>1150000</v>
      </c>
      <c r="G83" s="297">
        <f t="shared" si="19"/>
        <v>1150000</v>
      </c>
    </row>
    <row r="84" spans="1:7">
      <c r="A84" s="40" t="s">
        <v>34</v>
      </c>
      <c r="B84" s="41" t="s">
        <v>35</v>
      </c>
      <c r="C84" s="42" t="s">
        <v>233</v>
      </c>
      <c r="D84" s="42" t="s">
        <v>0</v>
      </c>
      <c r="E84" s="43">
        <f>E85+E86</f>
        <v>1000000</v>
      </c>
      <c r="F84" s="43">
        <f t="shared" ref="F84:G84" si="20">F85+F86</f>
        <v>1100000</v>
      </c>
      <c r="G84" s="43">
        <f t="shared" si="20"/>
        <v>1100000</v>
      </c>
    </row>
    <row r="85" spans="1:7">
      <c r="A85" s="57" t="s">
        <v>48</v>
      </c>
      <c r="B85" s="88" t="s">
        <v>49</v>
      </c>
      <c r="C85" s="154" t="s">
        <v>233</v>
      </c>
      <c r="D85" s="154">
        <v>11</v>
      </c>
      <c r="E85" s="59">
        <v>900000</v>
      </c>
      <c r="F85" s="59">
        <v>1000000</v>
      </c>
      <c r="G85" s="289">
        <v>1000000</v>
      </c>
    </row>
    <row r="86" spans="1:7">
      <c r="A86" s="57">
        <v>3238</v>
      </c>
      <c r="B86" s="88" t="s">
        <v>51</v>
      </c>
      <c r="C86" s="154" t="s">
        <v>233</v>
      </c>
      <c r="D86" s="154" t="s">
        <v>0</v>
      </c>
      <c r="E86" s="59">
        <v>100000</v>
      </c>
      <c r="F86" s="59">
        <v>100000</v>
      </c>
      <c r="G86" s="59">
        <v>100000</v>
      </c>
    </row>
    <row r="87" spans="1:7">
      <c r="A87" s="48" t="s">
        <v>274</v>
      </c>
      <c r="B87" s="49" t="s">
        <v>58</v>
      </c>
      <c r="C87" s="50" t="s">
        <v>233</v>
      </c>
      <c r="D87" s="52">
        <v>11</v>
      </c>
      <c r="E87" s="51">
        <f t="shared" ref="E87:G87" si="21">SUM(E88)</f>
        <v>50000</v>
      </c>
      <c r="F87" s="51">
        <f t="shared" si="21"/>
        <v>50000</v>
      </c>
      <c r="G87" s="292">
        <f t="shared" si="21"/>
        <v>50000</v>
      </c>
    </row>
    <row r="88" spans="1:7">
      <c r="A88" s="159">
        <v>3296</v>
      </c>
      <c r="B88" s="160" t="s">
        <v>106</v>
      </c>
      <c r="C88" s="154" t="s">
        <v>233</v>
      </c>
      <c r="D88" s="154" t="s">
        <v>0</v>
      </c>
      <c r="E88" s="47">
        <v>50000</v>
      </c>
      <c r="F88" s="47">
        <v>50000</v>
      </c>
      <c r="G88" s="47">
        <v>50000</v>
      </c>
    </row>
    <row r="89" spans="1:7">
      <c r="A89" s="484" t="s">
        <v>275</v>
      </c>
      <c r="B89" s="485" t="s">
        <v>266</v>
      </c>
      <c r="C89" s="484" t="s">
        <v>233</v>
      </c>
      <c r="D89" s="297"/>
      <c r="E89" s="297">
        <f t="shared" ref="E89:G90" si="22">E90</f>
        <v>50000</v>
      </c>
      <c r="F89" s="297">
        <f t="shared" si="22"/>
        <v>0</v>
      </c>
      <c r="G89" s="297">
        <f t="shared" si="22"/>
        <v>0</v>
      </c>
    </row>
    <row r="90" spans="1:7">
      <c r="A90" s="40" t="s">
        <v>16</v>
      </c>
      <c r="B90" s="41" t="s">
        <v>17</v>
      </c>
      <c r="C90" s="42" t="s">
        <v>233</v>
      </c>
      <c r="D90" s="42" t="s">
        <v>235</v>
      </c>
      <c r="E90" s="43">
        <f t="shared" si="22"/>
        <v>50000</v>
      </c>
      <c r="F90" s="43">
        <f t="shared" si="22"/>
        <v>0</v>
      </c>
      <c r="G90" s="288">
        <f>G91</f>
        <v>0</v>
      </c>
    </row>
    <row r="91" spans="1:7">
      <c r="A91" s="60" t="s">
        <v>18</v>
      </c>
      <c r="B91" s="155" t="s">
        <v>19</v>
      </c>
      <c r="C91" s="156" t="s">
        <v>233</v>
      </c>
      <c r="D91" s="156" t="s">
        <v>235</v>
      </c>
      <c r="E91" s="58">
        <v>50000</v>
      </c>
      <c r="F91" s="58">
        <v>0</v>
      </c>
      <c r="G91" s="290">
        <v>0</v>
      </c>
    </row>
    <row r="92" spans="1:7">
      <c r="A92" s="484" t="s">
        <v>375</v>
      </c>
      <c r="B92" s="485" t="s">
        <v>374</v>
      </c>
      <c r="C92" s="484" t="s">
        <v>233</v>
      </c>
      <c r="D92" s="297"/>
      <c r="E92" s="297">
        <f>E93+E95</f>
        <v>215000</v>
      </c>
      <c r="F92" s="297">
        <f t="shared" ref="F92:G92" si="23">F93+F95</f>
        <v>50000</v>
      </c>
      <c r="G92" s="297">
        <f t="shared" si="23"/>
        <v>0</v>
      </c>
    </row>
    <row r="93" spans="1:7">
      <c r="A93" s="40" t="s">
        <v>16</v>
      </c>
      <c r="B93" s="41" t="s">
        <v>17</v>
      </c>
      <c r="C93" s="42" t="s">
        <v>233</v>
      </c>
      <c r="D93" s="249" t="str">
        <f t="shared" ref="D93:G93" si="24">D94</f>
        <v>51</v>
      </c>
      <c r="E93" s="43">
        <f>E94</f>
        <v>110000</v>
      </c>
      <c r="F93" s="43">
        <f t="shared" si="24"/>
        <v>30000</v>
      </c>
      <c r="G93" s="288">
        <f t="shared" si="24"/>
        <v>0</v>
      </c>
    </row>
    <row r="94" spans="1:7">
      <c r="A94" s="60" t="s">
        <v>18</v>
      </c>
      <c r="B94" s="155" t="s">
        <v>19</v>
      </c>
      <c r="C94" s="156" t="s">
        <v>233</v>
      </c>
      <c r="D94" s="156" t="s">
        <v>235</v>
      </c>
      <c r="E94" s="58">
        <v>110000</v>
      </c>
      <c r="F94" s="58">
        <v>30000</v>
      </c>
      <c r="G94" s="461"/>
    </row>
    <row r="95" spans="1:7">
      <c r="A95" s="40" t="s">
        <v>34</v>
      </c>
      <c r="B95" s="41" t="s">
        <v>35</v>
      </c>
      <c r="C95" s="42" t="s">
        <v>233</v>
      </c>
      <c r="D95" s="250">
        <v>51</v>
      </c>
      <c r="E95" s="153">
        <f t="shared" ref="E95:G95" si="25">SUM(E96)</f>
        <v>105000</v>
      </c>
      <c r="F95" s="153">
        <f t="shared" si="25"/>
        <v>20000</v>
      </c>
      <c r="G95" s="323">
        <f t="shared" si="25"/>
        <v>0</v>
      </c>
    </row>
    <row r="96" spans="1:7" ht="15.75" customHeight="1">
      <c r="A96" s="60" t="s">
        <v>48</v>
      </c>
      <c r="B96" s="155" t="s">
        <v>49</v>
      </c>
      <c r="C96" s="156" t="s">
        <v>233</v>
      </c>
      <c r="D96" s="156" t="s">
        <v>235</v>
      </c>
      <c r="E96" s="58">
        <v>105000</v>
      </c>
      <c r="F96" s="58">
        <v>20000</v>
      </c>
      <c r="G96" s="462"/>
    </row>
    <row r="97" spans="1:7">
      <c r="A97" s="484" t="s">
        <v>306</v>
      </c>
      <c r="B97" s="485" t="s">
        <v>276</v>
      </c>
      <c r="C97" s="484" t="s">
        <v>233</v>
      </c>
      <c r="D97" s="297"/>
      <c r="E97" s="297">
        <f>E98</f>
        <v>2209800</v>
      </c>
      <c r="F97" s="297">
        <f t="shared" ref="F97:G97" si="26">F98</f>
        <v>0</v>
      </c>
      <c r="G97" s="297">
        <f t="shared" si="26"/>
        <v>0</v>
      </c>
    </row>
    <row r="98" spans="1:7">
      <c r="A98" s="40" t="s">
        <v>34</v>
      </c>
      <c r="B98" s="41" t="s">
        <v>35</v>
      </c>
      <c r="C98" s="50" t="s">
        <v>233</v>
      </c>
      <c r="D98" s="161"/>
      <c r="E98" s="161">
        <f>E101+E102+E99+E100</f>
        <v>2209800</v>
      </c>
      <c r="F98" s="161">
        <f t="shared" ref="F98:G98" si="27">F101+F102+F99+F100</f>
        <v>0</v>
      </c>
      <c r="G98" s="161">
        <f t="shared" si="27"/>
        <v>0</v>
      </c>
    </row>
    <row r="99" spans="1:7">
      <c r="A99" s="57" t="s">
        <v>48</v>
      </c>
      <c r="B99" s="88" t="s">
        <v>49</v>
      </c>
      <c r="C99" s="154" t="s">
        <v>233</v>
      </c>
      <c r="D99" s="154" t="s">
        <v>82</v>
      </c>
      <c r="E99" s="59">
        <v>162832</v>
      </c>
      <c r="F99" s="59">
        <v>0</v>
      </c>
      <c r="G99" s="289">
        <v>0</v>
      </c>
    </row>
    <row r="100" spans="1:7">
      <c r="A100" s="60" t="s">
        <v>48</v>
      </c>
      <c r="B100" s="155" t="s">
        <v>49</v>
      </c>
      <c r="C100" s="156" t="s">
        <v>233</v>
      </c>
      <c r="D100" s="156" t="s">
        <v>235</v>
      </c>
      <c r="E100" s="58">
        <v>1577250</v>
      </c>
      <c r="F100" s="58">
        <v>0</v>
      </c>
      <c r="G100" s="290">
        <v>0</v>
      </c>
    </row>
    <row r="101" spans="1:7" ht="12.75" customHeight="1">
      <c r="A101" s="57">
        <v>3238</v>
      </c>
      <c r="B101" s="88" t="s">
        <v>51</v>
      </c>
      <c r="C101" s="154" t="s">
        <v>233</v>
      </c>
      <c r="D101" s="154" t="s">
        <v>82</v>
      </c>
      <c r="E101" s="59">
        <v>46972</v>
      </c>
      <c r="F101" s="59">
        <v>0</v>
      </c>
      <c r="G101" s="289">
        <v>0</v>
      </c>
    </row>
    <row r="102" spans="1:7">
      <c r="A102" s="60">
        <v>3238</v>
      </c>
      <c r="B102" s="155" t="s">
        <v>51</v>
      </c>
      <c r="C102" s="156" t="s">
        <v>233</v>
      </c>
      <c r="D102" s="156" t="s">
        <v>235</v>
      </c>
      <c r="E102" s="58">
        <v>422746</v>
      </c>
      <c r="F102" s="58">
        <v>0</v>
      </c>
      <c r="G102" s="290">
        <v>0</v>
      </c>
    </row>
    <row r="103" spans="1:7" ht="25.5" customHeight="1">
      <c r="A103" s="1062" t="s">
        <v>269</v>
      </c>
      <c r="B103" s="1063"/>
      <c r="C103" s="1064"/>
      <c r="D103" s="75"/>
      <c r="E103" s="75">
        <f>E104+E108+E111+E114+E118+E123</f>
        <v>533582155</v>
      </c>
      <c r="F103" s="75">
        <f>F104+F108+F111+F114+F118+F123</f>
        <v>84340000</v>
      </c>
      <c r="G103" s="75">
        <f>G104+G108+G111+G114+G118+G123</f>
        <v>89040000</v>
      </c>
    </row>
    <row r="104" spans="1:7">
      <c r="A104" s="484" t="s">
        <v>194</v>
      </c>
      <c r="B104" s="485" t="s">
        <v>195</v>
      </c>
      <c r="C104" s="484" t="s">
        <v>227</v>
      </c>
      <c r="D104" s="297"/>
      <c r="E104" s="297">
        <f>E105</f>
        <v>60000000</v>
      </c>
      <c r="F104" s="297">
        <f t="shared" ref="F104:G104" si="28">F105</f>
        <v>78100000</v>
      </c>
      <c r="G104" s="297">
        <f t="shared" si="28"/>
        <v>85100000</v>
      </c>
    </row>
    <row r="105" spans="1:7">
      <c r="A105" s="40" t="s">
        <v>196</v>
      </c>
      <c r="B105" s="41" t="s">
        <v>444</v>
      </c>
      <c r="C105" s="409" t="s">
        <v>227</v>
      </c>
      <c r="D105" s="409" t="s">
        <v>0</v>
      </c>
      <c r="E105" s="418">
        <f>E106+E107</f>
        <v>60000000</v>
      </c>
      <c r="F105" s="418">
        <f t="shared" ref="F105:G105" si="29">F106+F107</f>
        <v>78100000</v>
      </c>
      <c r="G105" s="418">
        <f t="shared" si="29"/>
        <v>85100000</v>
      </c>
    </row>
    <row r="106" spans="1:7">
      <c r="A106" s="172">
        <v>3522</v>
      </c>
      <c r="B106" s="88" t="s">
        <v>443</v>
      </c>
      <c r="C106" s="416" t="s">
        <v>227</v>
      </c>
      <c r="D106" s="416" t="s">
        <v>0</v>
      </c>
      <c r="E106" s="431">
        <v>58000000</v>
      </c>
      <c r="F106" s="431">
        <v>75100000</v>
      </c>
      <c r="G106" s="432">
        <v>81100000</v>
      </c>
    </row>
    <row r="107" spans="1:7">
      <c r="A107" s="172">
        <v>3523</v>
      </c>
      <c r="B107" s="173" t="s">
        <v>341</v>
      </c>
      <c r="C107" s="44" t="s">
        <v>227</v>
      </c>
      <c r="D107" s="44" t="s">
        <v>0</v>
      </c>
      <c r="E107" s="45">
        <v>2000000</v>
      </c>
      <c r="F107" s="45">
        <v>3000000</v>
      </c>
      <c r="G107" s="291">
        <v>4000000</v>
      </c>
    </row>
    <row r="108" spans="1:7">
      <c r="A108" s="484" t="s">
        <v>199</v>
      </c>
      <c r="B108" s="485" t="s">
        <v>200</v>
      </c>
      <c r="C108" s="484" t="s">
        <v>232</v>
      </c>
      <c r="D108" s="297"/>
      <c r="E108" s="297">
        <f>E109</f>
        <v>3000000</v>
      </c>
      <c r="F108" s="297">
        <f t="shared" ref="E108:G109" si="30">F109</f>
        <v>0</v>
      </c>
      <c r="G108" s="297">
        <f t="shared" si="30"/>
        <v>0</v>
      </c>
    </row>
    <row r="109" spans="1:7">
      <c r="A109" s="40" t="s">
        <v>34</v>
      </c>
      <c r="B109" s="41" t="s">
        <v>35</v>
      </c>
      <c r="C109" s="42" t="s">
        <v>232</v>
      </c>
      <c r="D109" s="42" t="s">
        <v>0</v>
      </c>
      <c r="E109" s="43">
        <f t="shared" si="30"/>
        <v>3000000</v>
      </c>
      <c r="F109" s="43">
        <f t="shared" si="30"/>
        <v>0</v>
      </c>
      <c r="G109" s="288">
        <f t="shared" si="30"/>
        <v>0</v>
      </c>
    </row>
    <row r="110" spans="1:7">
      <c r="A110" s="57" t="s">
        <v>48</v>
      </c>
      <c r="B110" s="88" t="s">
        <v>49</v>
      </c>
      <c r="C110" s="154" t="s">
        <v>232</v>
      </c>
      <c r="D110" s="154" t="s">
        <v>0</v>
      </c>
      <c r="E110" s="59">
        <v>3000000</v>
      </c>
      <c r="F110" s="59">
        <v>0</v>
      </c>
      <c r="G110" s="289">
        <v>0</v>
      </c>
    </row>
    <row r="111" spans="1:7">
      <c r="A111" s="484" t="s">
        <v>201</v>
      </c>
      <c r="B111" s="485" t="s">
        <v>202</v>
      </c>
      <c r="C111" s="484" t="s">
        <v>232</v>
      </c>
      <c r="D111" s="297"/>
      <c r="E111" s="297">
        <f>E112</f>
        <v>5000000</v>
      </c>
      <c r="F111" s="297">
        <f t="shared" ref="E111:G112" si="31">F112</f>
        <v>0</v>
      </c>
      <c r="G111" s="297">
        <f t="shared" si="31"/>
        <v>0</v>
      </c>
    </row>
    <row r="112" spans="1:7" ht="15" customHeight="1">
      <c r="A112" s="40" t="s">
        <v>196</v>
      </c>
      <c r="B112" s="41" t="s">
        <v>444</v>
      </c>
      <c r="C112" s="42" t="s">
        <v>232</v>
      </c>
      <c r="D112" s="42" t="s">
        <v>0</v>
      </c>
      <c r="E112" s="43">
        <f t="shared" si="31"/>
        <v>5000000</v>
      </c>
      <c r="F112" s="43">
        <f t="shared" si="31"/>
        <v>0</v>
      </c>
      <c r="G112" s="288">
        <f t="shared" si="31"/>
        <v>0</v>
      </c>
    </row>
    <row r="113" spans="1:7">
      <c r="A113" s="57" t="s">
        <v>197</v>
      </c>
      <c r="B113" s="88" t="s">
        <v>443</v>
      </c>
      <c r="C113" s="154" t="s">
        <v>232</v>
      </c>
      <c r="D113" s="154" t="s">
        <v>0</v>
      </c>
      <c r="E113" s="59">
        <v>5000000</v>
      </c>
      <c r="F113" s="59">
        <v>0</v>
      </c>
      <c r="G113" s="289">
        <v>0</v>
      </c>
    </row>
    <row r="114" spans="1:7">
      <c r="A114" s="484" t="s">
        <v>203</v>
      </c>
      <c r="B114" s="485" t="s">
        <v>204</v>
      </c>
      <c r="C114" s="484" t="s">
        <v>232</v>
      </c>
      <c r="D114" s="297"/>
      <c r="E114" s="297">
        <f>E115</f>
        <v>461532155</v>
      </c>
      <c r="F114" s="297">
        <f>F115</f>
        <v>0</v>
      </c>
      <c r="G114" s="297">
        <f>G115</f>
        <v>0</v>
      </c>
    </row>
    <row r="115" spans="1:7">
      <c r="A115" s="40" t="s">
        <v>196</v>
      </c>
      <c r="B115" s="41" t="s">
        <v>444</v>
      </c>
      <c r="C115" s="42" t="s">
        <v>232</v>
      </c>
      <c r="D115" s="42" t="s">
        <v>0</v>
      </c>
      <c r="E115" s="43">
        <f>E116+E117</f>
        <v>461532155</v>
      </c>
      <c r="F115" s="43">
        <f t="shared" ref="F115:G115" si="32">F116+F117</f>
        <v>0</v>
      </c>
      <c r="G115" s="288">
        <f t="shared" si="32"/>
        <v>0</v>
      </c>
    </row>
    <row r="116" spans="1:7">
      <c r="A116" s="57" t="s">
        <v>197</v>
      </c>
      <c r="B116" s="88" t="s">
        <v>443</v>
      </c>
      <c r="C116" s="154" t="s">
        <v>232</v>
      </c>
      <c r="D116" s="154" t="s">
        <v>0</v>
      </c>
      <c r="E116" s="59">
        <v>378800000</v>
      </c>
      <c r="F116" s="59">
        <v>0</v>
      </c>
      <c r="G116" s="289">
        <v>0</v>
      </c>
    </row>
    <row r="117" spans="1:7">
      <c r="A117" s="244">
        <v>5445</v>
      </c>
      <c r="B117" s="534" t="s">
        <v>300</v>
      </c>
      <c r="C117" s="154" t="s">
        <v>232</v>
      </c>
      <c r="D117" s="154" t="s">
        <v>0</v>
      </c>
      <c r="E117" s="151">
        <v>82732155</v>
      </c>
      <c r="F117" s="151">
        <v>0</v>
      </c>
      <c r="G117" s="151">
        <v>0</v>
      </c>
    </row>
    <row r="118" spans="1:7">
      <c r="A118" s="484" t="s">
        <v>205</v>
      </c>
      <c r="B118" s="485" t="s">
        <v>206</v>
      </c>
      <c r="C118" s="484" t="s">
        <v>233</v>
      </c>
      <c r="D118" s="297"/>
      <c r="E118" s="297">
        <f>E121+E119</f>
        <v>2000000</v>
      </c>
      <c r="F118" s="297">
        <f t="shared" ref="F118:G118" si="33">F121+F119</f>
        <v>3290000</v>
      </c>
      <c r="G118" s="297">
        <f t="shared" si="33"/>
        <v>1990000</v>
      </c>
    </row>
    <row r="119" spans="1:7">
      <c r="A119" s="452" t="s">
        <v>34</v>
      </c>
      <c r="B119" s="453" t="s">
        <v>35</v>
      </c>
      <c r="C119" s="454" t="s">
        <v>233</v>
      </c>
      <c r="D119" s="454" t="s">
        <v>0</v>
      </c>
      <c r="E119" s="455">
        <f>SUM(E120)</f>
        <v>0</v>
      </c>
      <c r="F119" s="455">
        <f t="shared" ref="F119:G119" si="34">SUM(F120)</f>
        <v>0</v>
      </c>
      <c r="G119" s="455">
        <f t="shared" si="34"/>
        <v>0</v>
      </c>
    </row>
    <row r="120" spans="1:7">
      <c r="A120" s="457">
        <v>3239</v>
      </c>
      <c r="B120" s="458" t="s">
        <v>419</v>
      </c>
      <c r="C120" s="334" t="s">
        <v>233</v>
      </c>
      <c r="D120" s="322" t="s">
        <v>0</v>
      </c>
      <c r="E120" s="335">
        <v>0</v>
      </c>
      <c r="F120" s="335">
        <v>0</v>
      </c>
      <c r="G120" s="335">
        <v>0</v>
      </c>
    </row>
    <row r="121" spans="1:7" ht="14.25" customHeight="1">
      <c r="A121" s="320" t="s">
        <v>57</v>
      </c>
      <c r="B121" s="321" t="s">
        <v>58</v>
      </c>
      <c r="C121" s="322" t="s">
        <v>233</v>
      </c>
      <c r="D121" s="322" t="s">
        <v>0</v>
      </c>
      <c r="E121" s="323">
        <f>E122</f>
        <v>2000000</v>
      </c>
      <c r="F121" s="323">
        <f>F122</f>
        <v>3290000</v>
      </c>
      <c r="G121" s="459">
        <f>G122</f>
        <v>1990000</v>
      </c>
    </row>
    <row r="122" spans="1:7" ht="14.25" customHeight="1">
      <c r="A122" s="339" t="s">
        <v>65</v>
      </c>
      <c r="B122" s="337" t="s">
        <v>66</v>
      </c>
      <c r="C122" s="340" t="s">
        <v>233</v>
      </c>
      <c r="D122" s="340" t="s">
        <v>0</v>
      </c>
      <c r="E122" s="341">
        <v>2000000</v>
      </c>
      <c r="F122" s="341">
        <v>3290000</v>
      </c>
      <c r="G122" s="352">
        <v>1990000</v>
      </c>
    </row>
    <row r="123" spans="1:7" ht="14.25" customHeight="1">
      <c r="A123" s="484" t="s">
        <v>415</v>
      </c>
      <c r="B123" s="485" t="s">
        <v>414</v>
      </c>
      <c r="C123" s="484" t="s">
        <v>423</v>
      </c>
      <c r="D123" s="297"/>
      <c r="E123" s="297">
        <f>SUM(E124)+E125</f>
        <v>2050000</v>
      </c>
      <c r="F123" s="297">
        <f t="shared" ref="F123:G123" si="35">SUM(F124)+F125</f>
        <v>2950000</v>
      </c>
      <c r="G123" s="297">
        <f t="shared" si="35"/>
        <v>1950000</v>
      </c>
    </row>
    <row r="124" spans="1:7" ht="13.5" customHeight="1">
      <c r="A124" s="460">
        <v>3291</v>
      </c>
      <c r="B124" s="451" t="s">
        <v>422</v>
      </c>
      <c r="C124" s="340" t="s">
        <v>423</v>
      </c>
      <c r="D124" s="340" t="s">
        <v>216</v>
      </c>
      <c r="E124" s="341">
        <v>1100000</v>
      </c>
      <c r="F124" s="341">
        <v>1100000</v>
      </c>
      <c r="G124" s="352">
        <v>1100000</v>
      </c>
    </row>
    <row r="125" spans="1:7" ht="14.25" customHeight="1">
      <c r="A125" s="460">
        <v>3237</v>
      </c>
      <c r="B125" s="451" t="s">
        <v>49</v>
      </c>
      <c r="C125" s="340" t="s">
        <v>423</v>
      </c>
      <c r="D125" s="340" t="s">
        <v>0</v>
      </c>
      <c r="E125" s="341">
        <v>950000</v>
      </c>
      <c r="F125" s="341">
        <v>1850000</v>
      </c>
      <c r="G125" s="352">
        <v>850000</v>
      </c>
    </row>
    <row r="126" spans="1:7" ht="25.5" customHeight="1">
      <c r="A126" s="1065" t="s">
        <v>270</v>
      </c>
      <c r="B126" s="1066"/>
      <c r="C126" s="1067"/>
      <c r="D126" s="456"/>
      <c r="E126" s="456">
        <f>E127+E134+E142+E163</f>
        <v>10483947</v>
      </c>
      <c r="F126" s="456">
        <f t="shared" ref="F126:G126" si="36">F127+F134+F142+F163</f>
        <v>6965000</v>
      </c>
      <c r="G126" s="456">
        <f t="shared" si="36"/>
        <v>6965000</v>
      </c>
    </row>
    <row r="127" spans="1:7">
      <c r="A127" s="484" t="s">
        <v>208</v>
      </c>
      <c r="B127" s="485" t="s">
        <v>209</v>
      </c>
      <c r="C127" s="484" t="s">
        <v>227</v>
      </c>
      <c r="D127" s="297"/>
      <c r="E127" s="297">
        <f>E128+E131</f>
        <v>1718947</v>
      </c>
      <c r="F127" s="297">
        <f t="shared" ref="F127:G127" si="37">F128+F131</f>
        <v>2000000</v>
      </c>
      <c r="G127" s="297">
        <f t="shared" si="37"/>
        <v>2000000</v>
      </c>
    </row>
    <row r="128" spans="1:7">
      <c r="A128" s="40" t="s">
        <v>34</v>
      </c>
      <c r="B128" s="41" t="s">
        <v>35</v>
      </c>
      <c r="C128" s="42" t="s">
        <v>227</v>
      </c>
      <c r="D128" s="42" t="s">
        <v>0</v>
      </c>
      <c r="E128" s="43">
        <f>E130+E129</f>
        <v>450000</v>
      </c>
      <c r="F128" s="43">
        <f t="shared" ref="F128:G128" si="38">F130+F129</f>
        <v>500000</v>
      </c>
      <c r="G128" s="43">
        <f t="shared" si="38"/>
        <v>500000</v>
      </c>
    </row>
    <row r="129" spans="1:7">
      <c r="A129" s="430">
        <v>3237</v>
      </c>
      <c r="B129" s="429" t="s">
        <v>49</v>
      </c>
      <c r="C129" s="416" t="s">
        <v>227</v>
      </c>
      <c r="D129" s="416" t="s">
        <v>0</v>
      </c>
      <c r="E129" s="431">
        <v>350000</v>
      </c>
      <c r="F129" s="431">
        <v>350000</v>
      </c>
      <c r="G129" s="432">
        <v>350000</v>
      </c>
    </row>
    <row r="130" spans="1:7">
      <c r="A130" s="57" t="s">
        <v>50</v>
      </c>
      <c r="B130" s="88" t="s">
        <v>51</v>
      </c>
      <c r="C130" s="154" t="s">
        <v>227</v>
      </c>
      <c r="D130" s="154" t="s">
        <v>0</v>
      </c>
      <c r="E130" s="59">
        <v>100000</v>
      </c>
      <c r="F130" s="59">
        <v>150000</v>
      </c>
      <c r="G130" s="289">
        <v>150000</v>
      </c>
    </row>
    <row r="131" spans="1:7">
      <c r="A131" s="40" t="s">
        <v>78</v>
      </c>
      <c r="B131" s="41" t="s">
        <v>79</v>
      </c>
      <c r="C131" s="42" t="s">
        <v>227</v>
      </c>
      <c r="D131" s="42" t="s">
        <v>0</v>
      </c>
      <c r="E131" s="43">
        <f>E132+E133</f>
        <v>1268947</v>
      </c>
      <c r="F131" s="43">
        <f t="shared" ref="F131:G131" si="39">F132+F133</f>
        <v>1500000</v>
      </c>
      <c r="G131" s="43">
        <f t="shared" si="39"/>
        <v>1500000</v>
      </c>
    </row>
    <row r="132" spans="1:7">
      <c r="A132" s="57" t="s">
        <v>80</v>
      </c>
      <c r="B132" s="88" t="s">
        <v>81</v>
      </c>
      <c r="C132" s="154" t="s">
        <v>227</v>
      </c>
      <c r="D132" s="154" t="s">
        <v>0</v>
      </c>
      <c r="E132" s="59">
        <v>800000</v>
      </c>
      <c r="F132" s="59">
        <v>1500000</v>
      </c>
      <c r="G132" s="289">
        <v>1500000</v>
      </c>
    </row>
    <row r="133" spans="1:7">
      <c r="A133" s="430">
        <v>3811</v>
      </c>
      <c r="B133" s="88" t="s">
        <v>81</v>
      </c>
      <c r="C133" s="433" t="s">
        <v>227</v>
      </c>
      <c r="D133" s="433" t="s">
        <v>449</v>
      </c>
      <c r="E133" s="413">
        <v>468947</v>
      </c>
      <c r="F133" s="413">
        <v>0</v>
      </c>
      <c r="G133" s="414">
        <v>0</v>
      </c>
    </row>
    <row r="134" spans="1:7">
      <c r="A134" s="484" t="s">
        <v>210</v>
      </c>
      <c r="B134" s="485" t="s">
        <v>211</v>
      </c>
      <c r="C134" s="484" t="s">
        <v>233</v>
      </c>
      <c r="D134" s="297"/>
      <c r="E134" s="297">
        <f>E135</f>
        <v>4700000</v>
      </c>
      <c r="F134" s="297">
        <f t="shared" ref="F134:G134" si="40">F135</f>
        <v>800000</v>
      </c>
      <c r="G134" s="297">
        <f t="shared" si="40"/>
        <v>800000</v>
      </c>
    </row>
    <row r="135" spans="1:7">
      <c r="A135" s="40" t="s">
        <v>34</v>
      </c>
      <c r="B135" s="41" t="s">
        <v>35</v>
      </c>
      <c r="C135" s="42" t="s">
        <v>233</v>
      </c>
      <c r="D135" s="42" t="s">
        <v>0</v>
      </c>
      <c r="E135" s="43">
        <f>E137+E140+E141+E136+E138+E139</f>
        <v>4700000</v>
      </c>
      <c r="F135" s="43">
        <f t="shared" ref="F135:G135" si="41">F137+F140+F141+F136+F138+F139</f>
        <v>800000</v>
      </c>
      <c r="G135" s="43">
        <f t="shared" si="41"/>
        <v>800000</v>
      </c>
    </row>
    <row r="136" spans="1:7">
      <c r="A136" s="57" t="s">
        <v>40</v>
      </c>
      <c r="B136" s="88" t="s">
        <v>41</v>
      </c>
      <c r="C136" s="154" t="s">
        <v>233</v>
      </c>
      <c r="D136" s="154" t="s">
        <v>0</v>
      </c>
      <c r="E136" s="45">
        <v>200000</v>
      </c>
      <c r="F136" s="45">
        <v>100000</v>
      </c>
      <c r="G136" s="291">
        <v>100000</v>
      </c>
    </row>
    <row r="137" spans="1:7">
      <c r="A137" s="57" t="s">
        <v>48</v>
      </c>
      <c r="B137" s="88" t="s">
        <v>49</v>
      </c>
      <c r="C137" s="154" t="s">
        <v>233</v>
      </c>
      <c r="D137" s="154" t="s">
        <v>0</v>
      </c>
      <c r="E137" s="59">
        <v>100000</v>
      </c>
      <c r="F137" s="59">
        <v>300000</v>
      </c>
      <c r="G137" s="289">
        <v>300000</v>
      </c>
    </row>
    <row r="138" spans="1:7">
      <c r="A138" s="430">
        <v>3237</v>
      </c>
      <c r="B138" s="88" t="s">
        <v>49</v>
      </c>
      <c r="C138" s="433" t="s">
        <v>233</v>
      </c>
      <c r="D138" s="433" t="s">
        <v>82</v>
      </c>
      <c r="E138" s="413">
        <v>500000</v>
      </c>
      <c r="F138" s="413">
        <v>0</v>
      </c>
      <c r="G138" s="414">
        <v>0</v>
      </c>
    </row>
    <row r="139" spans="1:7">
      <c r="A139" s="442">
        <v>3237</v>
      </c>
      <c r="B139" s="155" t="s">
        <v>49</v>
      </c>
      <c r="C139" s="443" t="s">
        <v>233</v>
      </c>
      <c r="D139" s="443" t="s">
        <v>235</v>
      </c>
      <c r="E139" s="444">
        <v>2800000</v>
      </c>
      <c r="F139" s="444">
        <v>0</v>
      </c>
      <c r="G139" s="419">
        <v>0</v>
      </c>
    </row>
    <row r="140" spans="1:7">
      <c r="A140" s="57" t="s">
        <v>50</v>
      </c>
      <c r="B140" s="88" t="s">
        <v>51</v>
      </c>
      <c r="C140" s="154" t="s">
        <v>233</v>
      </c>
      <c r="D140" s="154" t="s">
        <v>0</v>
      </c>
      <c r="E140" s="59">
        <v>850000</v>
      </c>
      <c r="F140" s="59">
        <v>100000</v>
      </c>
      <c r="G140" s="289">
        <v>100000</v>
      </c>
    </row>
    <row r="141" spans="1:7">
      <c r="A141" s="57" t="s">
        <v>52</v>
      </c>
      <c r="B141" s="88" t="s">
        <v>53</v>
      </c>
      <c r="C141" s="154" t="s">
        <v>233</v>
      </c>
      <c r="D141" s="154" t="s">
        <v>0</v>
      </c>
      <c r="E141" s="59">
        <v>250000</v>
      </c>
      <c r="F141" s="59">
        <v>300000</v>
      </c>
      <c r="G141" s="289">
        <v>300000</v>
      </c>
    </row>
    <row r="142" spans="1:7" ht="15" customHeight="1">
      <c r="A142" s="484" t="s">
        <v>212</v>
      </c>
      <c r="B142" s="485" t="s">
        <v>213</v>
      </c>
      <c r="C142" s="484" t="s">
        <v>233</v>
      </c>
      <c r="D142" s="297"/>
      <c r="E142" s="297">
        <f>E143+E146+E157+E160</f>
        <v>665000</v>
      </c>
      <c r="F142" s="297">
        <f>F143+F146+F157+F160</f>
        <v>665000</v>
      </c>
      <c r="G142" s="297">
        <f>G143+G146+G157+G160</f>
        <v>665000</v>
      </c>
    </row>
    <row r="143" spans="1:7">
      <c r="A143" s="40" t="s">
        <v>16</v>
      </c>
      <c r="B143" s="41" t="s">
        <v>17</v>
      </c>
      <c r="C143" s="42" t="s">
        <v>233</v>
      </c>
      <c r="D143" s="42"/>
      <c r="E143" s="43">
        <f t="shared" ref="E143:G143" si="42">E144+E145</f>
        <v>100000</v>
      </c>
      <c r="F143" s="43">
        <f t="shared" si="42"/>
        <v>100000</v>
      </c>
      <c r="G143" s="288">
        <f t="shared" si="42"/>
        <v>100000</v>
      </c>
    </row>
    <row r="144" spans="1:7">
      <c r="A144" s="57" t="s">
        <v>18</v>
      </c>
      <c r="B144" s="88" t="s">
        <v>19</v>
      </c>
      <c r="C144" s="154" t="s">
        <v>233</v>
      </c>
      <c r="D144" s="154" t="s">
        <v>82</v>
      </c>
      <c r="E144" s="59">
        <v>35000</v>
      </c>
      <c r="F144" s="59">
        <v>35000</v>
      </c>
      <c r="G144" s="289">
        <v>35000</v>
      </c>
    </row>
    <row r="145" spans="1:7">
      <c r="A145" s="60" t="s">
        <v>18</v>
      </c>
      <c r="B145" s="155" t="s">
        <v>19</v>
      </c>
      <c r="C145" s="156" t="s">
        <v>233</v>
      </c>
      <c r="D145" s="156" t="s">
        <v>235</v>
      </c>
      <c r="E145" s="58">
        <v>65000</v>
      </c>
      <c r="F145" s="58">
        <v>65000</v>
      </c>
      <c r="G145" s="290">
        <v>65000</v>
      </c>
    </row>
    <row r="146" spans="1:7">
      <c r="A146" s="40" t="s">
        <v>34</v>
      </c>
      <c r="B146" s="41" t="s">
        <v>35</v>
      </c>
      <c r="C146" s="42" t="s">
        <v>233</v>
      </c>
      <c r="D146" s="43"/>
      <c r="E146" s="43">
        <f t="shared" ref="E146:G146" si="43">+E147+E148+E149+E150+E151+E152+E153+E154+E155+E156</f>
        <v>435000</v>
      </c>
      <c r="F146" s="43">
        <f t="shared" si="43"/>
        <v>435000</v>
      </c>
      <c r="G146" s="43">
        <f t="shared" si="43"/>
        <v>435000</v>
      </c>
    </row>
    <row r="147" spans="1:7">
      <c r="A147" s="57" t="s">
        <v>40</v>
      </c>
      <c r="B147" s="88" t="s">
        <v>41</v>
      </c>
      <c r="C147" s="154" t="s">
        <v>233</v>
      </c>
      <c r="D147" s="154" t="s">
        <v>82</v>
      </c>
      <c r="E147" s="59">
        <v>31500</v>
      </c>
      <c r="F147" s="59">
        <v>31500</v>
      </c>
      <c r="G147" s="289">
        <v>31500</v>
      </c>
    </row>
    <row r="148" spans="1:7">
      <c r="A148" s="60" t="s">
        <v>40</v>
      </c>
      <c r="B148" s="155" t="s">
        <v>41</v>
      </c>
      <c r="C148" s="156" t="s">
        <v>233</v>
      </c>
      <c r="D148" s="156" t="s">
        <v>235</v>
      </c>
      <c r="E148" s="58">
        <v>58500</v>
      </c>
      <c r="F148" s="58">
        <v>58500</v>
      </c>
      <c r="G148" s="290">
        <v>58500</v>
      </c>
    </row>
    <row r="149" spans="1:7">
      <c r="A149" s="57" t="s">
        <v>44</v>
      </c>
      <c r="B149" s="88" t="s">
        <v>45</v>
      </c>
      <c r="C149" s="154" t="s">
        <v>233</v>
      </c>
      <c r="D149" s="154" t="s">
        <v>82</v>
      </c>
      <c r="E149" s="59">
        <v>17500</v>
      </c>
      <c r="F149" s="59">
        <v>17500</v>
      </c>
      <c r="G149" s="289">
        <v>17500</v>
      </c>
    </row>
    <row r="150" spans="1:7">
      <c r="A150" s="60" t="s">
        <v>44</v>
      </c>
      <c r="B150" s="155" t="s">
        <v>45</v>
      </c>
      <c r="C150" s="156" t="s">
        <v>233</v>
      </c>
      <c r="D150" s="156" t="s">
        <v>235</v>
      </c>
      <c r="E150" s="58">
        <v>32500</v>
      </c>
      <c r="F150" s="58">
        <v>32500</v>
      </c>
      <c r="G150" s="290">
        <v>32500</v>
      </c>
    </row>
    <row r="151" spans="1:7">
      <c r="A151" s="57" t="s">
        <v>48</v>
      </c>
      <c r="B151" s="88" t="s">
        <v>49</v>
      </c>
      <c r="C151" s="154" t="s">
        <v>233</v>
      </c>
      <c r="D151" s="154" t="s">
        <v>82</v>
      </c>
      <c r="E151" s="59">
        <v>84000</v>
      </c>
      <c r="F151" s="59">
        <v>84000</v>
      </c>
      <c r="G151" s="289">
        <v>84000</v>
      </c>
    </row>
    <row r="152" spans="1:7">
      <c r="A152" s="60" t="s">
        <v>48</v>
      </c>
      <c r="B152" s="155" t="s">
        <v>49</v>
      </c>
      <c r="C152" s="156" t="s">
        <v>233</v>
      </c>
      <c r="D152" s="156" t="s">
        <v>235</v>
      </c>
      <c r="E152" s="58">
        <v>156000</v>
      </c>
      <c r="F152" s="58">
        <v>156000</v>
      </c>
      <c r="G152" s="290">
        <v>156000</v>
      </c>
    </row>
    <row r="153" spans="1:7">
      <c r="A153" s="57" t="s">
        <v>50</v>
      </c>
      <c r="B153" s="88" t="s">
        <v>51</v>
      </c>
      <c r="C153" s="154" t="s">
        <v>233</v>
      </c>
      <c r="D153" s="154" t="s">
        <v>82</v>
      </c>
      <c r="E153" s="59">
        <v>5250</v>
      </c>
      <c r="F153" s="59">
        <v>5250</v>
      </c>
      <c r="G153" s="289">
        <v>5250</v>
      </c>
    </row>
    <row r="154" spans="1:7">
      <c r="A154" s="60" t="s">
        <v>50</v>
      </c>
      <c r="B154" s="155" t="s">
        <v>51</v>
      </c>
      <c r="C154" s="156" t="s">
        <v>233</v>
      </c>
      <c r="D154" s="156" t="s">
        <v>235</v>
      </c>
      <c r="E154" s="58">
        <v>9750</v>
      </c>
      <c r="F154" s="58">
        <v>9750</v>
      </c>
      <c r="G154" s="290">
        <v>9750</v>
      </c>
    </row>
    <row r="155" spans="1:7">
      <c r="A155" s="57" t="s">
        <v>52</v>
      </c>
      <c r="B155" s="88" t="s">
        <v>53</v>
      </c>
      <c r="C155" s="154" t="s">
        <v>233</v>
      </c>
      <c r="D155" s="154" t="s">
        <v>82</v>
      </c>
      <c r="E155" s="59">
        <v>14000</v>
      </c>
      <c r="F155" s="59">
        <v>14000</v>
      </c>
      <c r="G155" s="289">
        <v>14000</v>
      </c>
    </row>
    <row r="156" spans="1:7" ht="15.75" customHeight="1">
      <c r="A156" s="60" t="s">
        <v>52</v>
      </c>
      <c r="B156" s="155" t="s">
        <v>53</v>
      </c>
      <c r="C156" s="156" t="s">
        <v>233</v>
      </c>
      <c r="D156" s="156" t="s">
        <v>235</v>
      </c>
      <c r="E156" s="58">
        <v>26000</v>
      </c>
      <c r="F156" s="58">
        <v>26000</v>
      </c>
      <c r="G156" s="290">
        <v>26000</v>
      </c>
    </row>
    <row r="157" spans="1:7">
      <c r="A157" s="40" t="s">
        <v>57</v>
      </c>
      <c r="B157" s="41" t="s">
        <v>58</v>
      </c>
      <c r="C157" s="42" t="s">
        <v>233</v>
      </c>
      <c r="D157" s="42"/>
      <c r="E157" s="43">
        <f t="shared" ref="E157:G157" si="44">E158+E159</f>
        <v>105000</v>
      </c>
      <c r="F157" s="43">
        <f t="shared" si="44"/>
        <v>105000</v>
      </c>
      <c r="G157" s="288">
        <f t="shared" si="44"/>
        <v>105000</v>
      </c>
    </row>
    <row r="158" spans="1:7">
      <c r="A158" s="57" t="s">
        <v>63</v>
      </c>
      <c r="B158" s="88" t="s">
        <v>64</v>
      </c>
      <c r="C158" s="154" t="s">
        <v>233</v>
      </c>
      <c r="D158" s="154" t="s">
        <v>82</v>
      </c>
      <c r="E158" s="59">
        <v>36750</v>
      </c>
      <c r="F158" s="59">
        <v>36750</v>
      </c>
      <c r="G158" s="289">
        <v>36750</v>
      </c>
    </row>
    <row r="159" spans="1:7">
      <c r="A159" s="60" t="s">
        <v>63</v>
      </c>
      <c r="B159" s="155" t="s">
        <v>64</v>
      </c>
      <c r="C159" s="156" t="s">
        <v>233</v>
      </c>
      <c r="D159" s="156" t="s">
        <v>235</v>
      </c>
      <c r="E159" s="58">
        <v>68250</v>
      </c>
      <c r="F159" s="58">
        <v>68250</v>
      </c>
      <c r="G159" s="290">
        <v>68250</v>
      </c>
    </row>
    <row r="160" spans="1:7">
      <c r="A160" s="40" t="s">
        <v>88</v>
      </c>
      <c r="B160" s="41" t="s">
        <v>89</v>
      </c>
      <c r="C160" s="42" t="s">
        <v>233</v>
      </c>
      <c r="D160" s="42"/>
      <c r="E160" s="43">
        <f t="shared" ref="E160:G160" si="45">E161+E162</f>
        <v>25000</v>
      </c>
      <c r="F160" s="43">
        <f t="shared" si="45"/>
        <v>25000</v>
      </c>
      <c r="G160" s="288">
        <f t="shared" si="45"/>
        <v>25000</v>
      </c>
    </row>
    <row r="161" spans="1:7" ht="15.75" customHeight="1">
      <c r="A161" s="57" t="s">
        <v>90</v>
      </c>
      <c r="B161" s="88" t="s">
        <v>91</v>
      </c>
      <c r="C161" s="154" t="s">
        <v>233</v>
      </c>
      <c r="D161" s="154" t="s">
        <v>82</v>
      </c>
      <c r="E161" s="59">
        <v>8750</v>
      </c>
      <c r="F161" s="59">
        <v>8750</v>
      </c>
      <c r="G161" s="289">
        <v>8750</v>
      </c>
    </row>
    <row r="162" spans="1:7">
      <c r="A162" s="60" t="s">
        <v>90</v>
      </c>
      <c r="B162" s="155" t="s">
        <v>91</v>
      </c>
      <c r="C162" s="156" t="s">
        <v>233</v>
      </c>
      <c r="D162" s="156" t="s">
        <v>235</v>
      </c>
      <c r="E162" s="58">
        <v>16250</v>
      </c>
      <c r="F162" s="58">
        <v>16250</v>
      </c>
      <c r="G162" s="290">
        <v>16250</v>
      </c>
    </row>
    <row r="163" spans="1:7">
      <c r="A163" s="538" t="s">
        <v>465</v>
      </c>
      <c r="B163" s="485" t="s">
        <v>453</v>
      </c>
      <c r="C163" s="484"/>
      <c r="D163" s="297"/>
      <c r="E163" s="297">
        <f>E164</f>
        <v>3400000</v>
      </c>
      <c r="F163" s="297">
        <f t="shared" ref="F163:G163" si="46">F164</f>
        <v>3500000</v>
      </c>
      <c r="G163" s="297">
        <f t="shared" si="46"/>
        <v>3500000</v>
      </c>
    </row>
    <row r="164" spans="1:7">
      <c r="A164" s="40" t="s">
        <v>34</v>
      </c>
      <c r="B164" s="41" t="s">
        <v>35</v>
      </c>
      <c r="C164" s="433"/>
      <c r="D164" s="420" t="s">
        <v>0</v>
      </c>
      <c r="E164" s="410">
        <f>E165+E166</f>
        <v>3400000</v>
      </c>
      <c r="F164" s="410">
        <f t="shared" ref="F164:G164" si="47">F165+F166</f>
        <v>3500000</v>
      </c>
      <c r="G164" s="410">
        <f t="shared" si="47"/>
        <v>3500000</v>
      </c>
    </row>
    <row r="165" spans="1:7">
      <c r="A165" s="57" t="s">
        <v>40</v>
      </c>
      <c r="B165" s="88" t="s">
        <v>41</v>
      </c>
      <c r="C165" s="433"/>
      <c r="D165" s="433" t="s">
        <v>0</v>
      </c>
      <c r="E165" s="413">
        <v>2400000</v>
      </c>
      <c r="F165" s="413">
        <v>3000000</v>
      </c>
      <c r="G165" s="413">
        <v>3000000</v>
      </c>
    </row>
    <row r="166" spans="1:7">
      <c r="A166" s="57" t="s">
        <v>48</v>
      </c>
      <c r="B166" s="88" t="s">
        <v>49</v>
      </c>
      <c r="C166" s="154"/>
      <c r="D166" s="154" t="s">
        <v>0</v>
      </c>
      <c r="E166" s="59">
        <v>1000000</v>
      </c>
      <c r="F166" s="59">
        <v>500000</v>
      </c>
      <c r="G166" s="59">
        <v>500000</v>
      </c>
    </row>
    <row r="167" spans="1:7" ht="25.5" customHeight="1">
      <c r="A167" s="1053" t="s">
        <v>271</v>
      </c>
      <c r="B167" s="1054"/>
      <c r="C167" s="1055"/>
      <c r="D167" s="75"/>
      <c r="E167" s="75">
        <f>E168+E251+E267+E287</f>
        <v>1004718458</v>
      </c>
      <c r="F167" s="75">
        <f>F168+F251+F267+F287</f>
        <v>1283028618</v>
      </c>
      <c r="G167" s="75">
        <f>G168+G251+G267+G287</f>
        <v>1265655139</v>
      </c>
    </row>
    <row r="168" spans="1:7">
      <c r="A168" s="484" t="s">
        <v>214</v>
      </c>
      <c r="B168" s="485" t="s">
        <v>215</v>
      </c>
      <c r="C168" s="484" t="s">
        <v>233</v>
      </c>
      <c r="D168" s="297"/>
      <c r="E168" s="297">
        <f>E169+E176+E181+E190+E197+E212+E215+E224+E226+E229+E232+E238+E235+E240+E243+E248</f>
        <v>978818303</v>
      </c>
      <c r="F168" s="297">
        <f t="shared" ref="F168:G168" si="48">F169+F176+F181+F190+F197+F212+F215+F224+F226+F229+F232+F238+F235+F240+F243+F248</f>
        <v>1259999618</v>
      </c>
      <c r="G168" s="297">
        <f t="shared" si="48"/>
        <v>1242626139</v>
      </c>
    </row>
    <row r="169" spans="1:7">
      <c r="A169" s="40" t="s">
        <v>1</v>
      </c>
      <c r="B169" s="41" t="s">
        <v>2</v>
      </c>
      <c r="C169" s="42" t="s">
        <v>233</v>
      </c>
      <c r="D169" s="42"/>
      <c r="E169" s="43">
        <f>E170+E171+E172+E173+E174+E175</f>
        <v>14296784</v>
      </c>
      <c r="F169" s="43">
        <f t="shared" ref="F169:G169" si="49">F170+F171+F172+F173+F174+F175</f>
        <v>14296784</v>
      </c>
      <c r="G169" s="43">
        <f t="shared" si="49"/>
        <v>14296784</v>
      </c>
    </row>
    <row r="170" spans="1:7">
      <c r="A170" s="57" t="s">
        <v>3</v>
      </c>
      <c r="B170" s="88" t="s">
        <v>4</v>
      </c>
      <c r="C170" s="154" t="s">
        <v>233</v>
      </c>
      <c r="D170" s="154" t="s">
        <v>82</v>
      </c>
      <c r="E170" s="59">
        <v>2107380</v>
      </c>
      <c r="F170" s="59">
        <v>2107380</v>
      </c>
      <c r="G170" s="59">
        <v>2107380</v>
      </c>
    </row>
    <row r="171" spans="1:7">
      <c r="A171" s="60" t="s">
        <v>3</v>
      </c>
      <c r="B171" s="155" t="s">
        <v>4</v>
      </c>
      <c r="C171" s="156" t="s">
        <v>233</v>
      </c>
      <c r="D171" s="156" t="s">
        <v>234</v>
      </c>
      <c r="E171" s="58">
        <v>11941824</v>
      </c>
      <c r="F171" s="58">
        <v>11941824</v>
      </c>
      <c r="G171" s="58">
        <v>11941824</v>
      </c>
    </row>
    <row r="172" spans="1:7">
      <c r="A172" s="57">
        <v>3113</v>
      </c>
      <c r="B172" s="88" t="s">
        <v>6</v>
      </c>
      <c r="C172" s="154" t="s">
        <v>233</v>
      </c>
      <c r="D172" s="154" t="s">
        <v>82</v>
      </c>
      <c r="E172" s="59">
        <v>7500</v>
      </c>
      <c r="F172" s="59">
        <v>7500</v>
      </c>
      <c r="G172" s="59">
        <v>7500</v>
      </c>
    </row>
    <row r="173" spans="1:7">
      <c r="A173" s="60">
        <v>3113</v>
      </c>
      <c r="B173" s="155" t="s">
        <v>6</v>
      </c>
      <c r="C173" s="156" t="s">
        <v>233</v>
      </c>
      <c r="D173" s="156" t="s">
        <v>234</v>
      </c>
      <c r="E173" s="58">
        <v>42500</v>
      </c>
      <c r="F173" s="58">
        <v>42500</v>
      </c>
      <c r="G173" s="58">
        <v>42500</v>
      </c>
    </row>
    <row r="174" spans="1:7">
      <c r="A174" s="57">
        <v>3121</v>
      </c>
      <c r="B174" s="88" t="s">
        <v>8</v>
      </c>
      <c r="C174" s="154" t="s">
        <v>233</v>
      </c>
      <c r="D174" s="154" t="s">
        <v>82</v>
      </c>
      <c r="E174" s="59">
        <v>29637</v>
      </c>
      <c r="F174" s="59">
        <v>29637</v>
      </c>
      <c r="G174" s="59">
        <v>29637</v>
      </c>
    </row>
    <row r="175" spans="1:7">
      <c r="A175" s="60">
        <v>3121</v>
      </c>
      <c r="B175" s="155" t="s">
        <v>8</v>
      </c>
      <c r="C175" s="156" t="s">
        <v>233</v>
      </c>
      <c r="D175" s="156" t="s">
        <v>234</v>
      </c>
      <c r="E175" s="58">
        <v>167943</v>
      </c>
      <c r="F175" s="58">
        <v>167943</v>
      </c>
      <c r="G175" s="58">
        <v>167943</v>
      </c>
    </row>
    <row r="176" spans="1:7">
      <c r="A176" s="40" t="s">
        <v>10</v>
      </c>
      <c r="B176" s="41" t="s">
        <v>11</v>
      </c>
      <c r="C176" s="42" t="s">
        <v>233</v>
      </c>
      <c r="D176" s="42"/>
      <c r="E176" s="43">
        <f>E177+E178+E179+E180</f>
        <v>2427276</v>
      </c>
      <c r="F176" s="43">
        <f t="shared" ref="F176:G176" si="50">F177+F178+F179+F180</f>
        <v>2427276</v>
      </c>
      <c r="G176" s="288">
        <f t="shared" si="50"/>
        <v>2427276</v>
      </c>
    </row>
    <row r="177" spans="1:7">
      <c r="A177" s="57" t="s">
        <v>12</v>
      </c>
      <c r="B177" s="88" t="s">
        <v>13</v>
      </c>
      <c r="C177" s="154" t="s">
        <v>233</v>
      </c>
      <c r="D177" s="154" t="s">
        <v>82</v>
      </c>
      <c r="E177" s="59">
        <v>326644</v>
      </c>
      <c r="F177" s="59">
        <v>326644</v>
      </c>
      <c r="G177" s="59">
        <v>326644</v>
      </c>
    </row>
    <row r="178" spans="1:7">
      <c r="A178" s="60" t="s">
        <v>12</v>
      </c>
      <c r="B178" s="155" t="s">
        <v>13</v>
      </c>
      <c r="C178" s="156" t="s">
        <v>233</v>
      </c>
      <c r="D178" s="156" t="s">
        <v>234</v>
      </c>
      <c r="E178" s="58">
        <v>1850984</v>
      </c>
      <c r="F178" s="58">
        <v>1850984</v>
      </c>
      <c r="G178" s="58">
        <v>1850984</v>
      </c>
    </row>
    <row r="179" spans="1:7">
      <c r="A179" s="57" t="s">
        <v>14</v>
      </c>
      <c r="B179" s="88" t="s">
        <v>15</v>
      </c>
      <c r="C179" s="154" t="s">
        <v>233</v>
      </c>
      <c r="D179" s="154" t="s">
        <v>82</v>
      </c>
      <c r="E179" s="59">
        <v>37447</v>
      </c>
      <c r="F179" s="59">
        <v>37447</v>
      </c>
      <c r="G179" s="59">
        <v>37447</v>
      </c>
    </row>
    <row r="180" spans="1:7">
      <c r="A180" s="60" t="s">
        <v>14</v>
      </c>
      <c r="B180" s="155" t="s">
        <v>15</v>
      </c>
      <c r="C180" s="156" t="s">
        <v>233</v>
      </c>
      <c r="D180" s="156" t="s">
        <v>234</v>
      </c>
      <c r="E180" s="58">
        <v>212201</v>
      </c>
      <c r="F180" s="58">
        <v>212201</v>
      </c>
      <c r="G180" s="58">
        <v>212201</v>
      </c>
    </row>
    <row r="181" spans="1:7">
      <c r="A181" s="40" t="s">
        <v>16</v>
      </c>
      <c r="B181" s="41" t="s">
        <v>17</v>
      </c>
      <c r="C181" s="42" t="s">
        <v>233</v>
      </c>
      <c r="D181" s="42"/>
      <c r="E181" s="43">
        <f>E182+E183+E186+E187+E184+E185+E188+E189</f>
        <v>2771240</v>
      </c>
      <c r="F181" s="43">
        <f t="shared" ref="F181:G181" si="51">F182+F183+F186+F187+F184+F185+F188+F189</f>
        <v>2871400</v>
      </c>
      <c r="G181" s="43">
        <f t="shared" si="51"/>
        <v>2871400</v>
      </c>
    </row>
    <row r="182" spans="1:7">
      <c r="A182" s="57" t="s">
        <v>18</v>
      </c>
      <c r="B182" s="88" t="s">
        <v>19</v>
      </c>
      <c r="C182" s="154" t="s">
        <v>233</v>
      </c>
      <c r="D182" s="154" t="s">
        <v>82</v>
      </c>
      <c r="E182" s="59">
        <v>128320</v>
      </c>
      <c r="F182" s="59">
        <v>228480</v>
      </c>
      <c r="G182" s="59">
        <v>228480</v>
      </c>
    </row>
    <row r="183" spans="1:7">
      <c r="A183" s="60" t="s">
        <v>18</v>
      </c>
      <c r="B183" s="155" t="s">
        <v>19</v>
      </c>
      <c r="C183" s="156" t="s">
        <v>233</v>
      </c>
      <c r="D183" s="156" t="s">
        <v>234</v>
      </c>
      <c r="E183" s="58">
        <v>1294720</v>
      </c>
      <c r="F183" s="58">
        <v>1294720</v>
      </c>
      <c r="G183" s="58">
        <v>1294720</v>
      </c>
    </row>
    <row r="184" spans="1:7" ht="15" customHeight="1">
      <c r="A184" s="57">
        <v>3212</v>
      </c>
      <c r="B184" s="88" t="s">
        <v>21</v>
      </c>
      <c r="C184" s="154" t="s">
        <v>233</v>
      </c>
      <c r="D184" s="154" t="s">
        <v>82</v>
      </c>
      <c r="E184" s="59">
        <v>64680</v>
      </c>
      <c r="F184" s="59">
        <v>64680</v>
      </c>
      <c r="G184" s="289">
        <v>64680</v>
      </c>
    </row>
    <row r="185" spans="1:7">
      <c r="A185" s="60">
        <v>3212</v>
      </c>
      <c r="B185" s="155" t="s">
        <v>21</v>
      </c>
      <c r="C185" s="156" t="s">
        <v>233</v>
      </c>
      <c r="D185" s="156" t="s">
        <v>234</v>
      </c>
      <c r="E185" s="58">
        <v>366520</v>
      </c>
      <c r="F185" s="58">
        <v>366520</v>
      </c>
      <c r="G185" s="58">
        <v>366520</v>
      </c>
    </row>
    <row r="186" spans="1:7" ht="15" customHeight="1">
      <c r="A186" s="57">
        <v>3213</v>
      </c>
      <c r="B186" s="88" t="s">
        <v>23</v>
      </c>
      <c r="C186" s="154" t="s">
        <v>233</v>
      </c>
      <c r="D186" s="154" t="s">
        <v>82</v>
      </c>
      <c r="E186" s="59">
        <v>136950</v>
      </c>
      <c r="F186" s="59">
        <v>136950</v>
      </c>
      <c r="G186" s="289">
        <v>136950</v>
      </c>
    </row>
    <row r="187" spans="1:7">
      <c r="A187" s="60">
        <v>3213</v>
      </c>
      <c r="B187" s="155" t="s">
        <v>23</v>
      </c>
      <c r="C187" s="156" t="s">
        <v>233</v>
      </c>
      <c r="D187" s="156" t="s">
        <v>234</v>
      </c>
      <c r="E187" s="58">
        <v>776050</v>
      </c>
      <c r="F187" s="58">
        <v>776050</v>
      </c>
      <c r="G187" s="58">
        <v>776050</v>
      </c>
    </row>
    <row r="188" spans="1:7">
      <c r="A188" s="430">
        <v>3214</v>
      </c>
      <c r="B188" s="429" t="s">
        <v>162</v>
      </c>
      <c r="C188" s="433" t="s">
        <v>233</v>
      </c>
      <c r="D188" s="433" t="s">
        <v>82</v>
      </c>
      <c r="E188" s="413">
        <v>600</v>
      </c>
      <c r="F188" s="413">
        <v>600</v>
      </c>
      <c r="G188" s="413">
        <v>600</v>
      </c>
    </row>
    <row r="189" spans="1:7" ht="15" customHeight="1">
      <c r="A189" s="442">
        <v>3214</v>
      </c>
      <c r="B189" s="448" t="s">
        <v>162</v>
      </c>
      <c r="C189" s="443"/>
      <c r="D189" s="443" t="s">
        <v>234</v>
      </c>
      <c r="E189" s="444">
        <v>3400</v>
      </c>
      <c r="F189" s="444">
        <v>3400</v>
      </c>
      <c r="G189" s="444">
        <v>3400</v>
      </c>
    </row>
    <row r="190" spans="1:7" ht="15" customHeight="1">
      <c r="A190" s="40" t="s">
        <v>24</v>
      </c>
      <c r="B190" s="41" t="s">
        <v>25</v>
      </c>
      <c r="C190" s="154" t="s">
        <v>233</v>
      </c>
      <c r="D190" s="42"/>
      <c r="E190" s="43">
        <f>E191+E192+E193+E194+E195+E196</f>
        <v>390000</v>
      </c>
      <c r="F190" s="43">
        <f t="shared" ref="F190:G190" si="52">F191+F192+F193+F194+F195+F196</f>
        <v>390000</v>
      </c>
      <c r="G190" s="43">
        <f t="shared" si="52"/>
        <v>390000</v>
      </c>
    </row>
    <row r="191" spans="1:7" ht="15" customHeight="1">
      <c r="A191" s="57" t="s">
        <v>26</v>
      </c>
      <c r="B191" s="88" t="s">
        <v>27</v>
      </c>
      <c r="C191" s="154" t="s">
        <v>233</v>
      </c>
      <c r="D191" s="154" t="s">
        <v>82</v>
      </c>
      <c r="E191" s="59">
        <v>39000</v>
      </c>
      <c r="F191" s="59">
        <v>39000</v>
      </c>
      <c r="G191" s="289">
        <v>39000</v>
      </c>
    </row>
    <row r="192" spans="1:7" ht="15" customHeight="1">
      <c r="A192" s="60" t="s">
        <v>26</v>
      </c>
      <c r="B192" s="155" t="s">
        <v>27</v>
      </c>
      <c r="C192" s="156" t="s">
        <v>233</v>
      </c>
      <c r="D192" s="156" t="s">
        <v>234</v>
      </c>
      <c r="E192" s="58">
        <v>221000</v>
      </c>
      <c r="F192" s="58">
        <v>221000</v>
      </c>
      <c r="G192" s="58">
        <v>221000</v>
      </c>
    </row>
    <row r="193" spans="1:7" ht="15" customHeight="1">
      <c r="A193" s="57">
        <v>3223</v>
      </c>
      <c r="B193" s="88" t="s">
        <v>29</v>
      </c>
      <c r="C193" s="154" t="s">
        <v>233</v>
      </c>
      <c r="D193" s="154" t="s">
        <v>82</v>
      </c>
      <c r="E193" s="59">
        <v>18000</v>
      </c>
      <c r="F193" s="59">
        <v>18000</v>
      </c>
      <c r="G193" s="289">
        <v>18000</v>
      </c>
    </row>
    <row r="194" spans="1:7">
      <c r="A194" s="60">
        <v>3223</v>
      </c>
      <c r="B194" s="155" t="s">
        <v>29</v>
      </c>
      <c r="C194" s="156" t="s">
        <v>233</v>
      </c>
      <c r="D194" s="156" t="s">
        <v>234</v>
      </c>
      <c r="E194" s="58">
        <v>102000</v>
      </c>
      <c r="F194" s="58">
        <v>102000</v>
      </c>
      <c r="G194" s="58">
        <v>102000</v>
      </c>
    </row>
    <row r="195" spans="1:7">
      <c r="A195" s="57">
        <v>3224</v>
      </c>
      <c r="B195" s="88" t="s">
        <v>438</v>
      </c>
      <c r="C195" s="154" t="s">
        <v>233</v>
      </c>
      <c r="D195" s="154" t="s">
        <v>82</v>
      </c>
      <c r="E195" s="59">
        <v>1500</v>
      </c>
      <c r="F195" s="59">
        <v>1500</v>
      </c>
      <c r="G195" s="289">
        <v>1500</v>
      </c>
    </row>
    <row r="196" spans="1:7">
      <c r="A196" s="60">
        <v>3224</v>
      </c>
      <c r="B196" s="155" t="s">
        <v>438</v>
      </c>
      <c r="C196" s="156" t="s">
        <v>233</v>
      </c>
      <c r="D196" s="156" t="s">
        <v>234</v>
      </c>
      <c r="E196" s="58">
        <v>8500</v>
      </c>
      <c r="F196" s="58">
        <v>8500</v>
      </c>
      <c r="G196" s="58">
        <v>8500</v>
      </c>
    </row>
    <row r="197" spans="1:7">
      <c r="A197" s="40" t="s">
        <v>34</v>
      </c>
      <c r="B197" s="41" t="s">
        <v>35</v>
      </c>
      <c r="C197" s="42" t="s">
        <v>233</v>
      </c>
      <c r="D197" s="42"/>
      <c r="E197" s="43">
        <f>E206+E207+E208+E209+E210+E211+E204+E205+E199+E198+E200+E201+E202+E203</f>
        <v>50222275</v>
      </c>
      <c r="F197" s="43">
        <f t="shared" ref="F197:G197" si="53">F206+F207+F208+F209+F210+F211+F204+F205+F199+F198+F200+F201+F202+F203</f>
        <v>51222275</v>
      </c>
      <c r="G197" s="43">
        <f t="shared" si="53"/>
        <v>51222275</v>
      </c>
    </row>
    <row r="198" spans="1:7">
      <c r="A198" s="57" t="s">
        <v>36</v>
      </c>
      <c r="B198" s="88" t="s">
        <v>37</v>
      </c>
      <c r="C198" s="44" t="s">
        <v>233</v>
      </c>
      <c r="D198" s="44" t="s">
        <v>82</v>
      </c>
      <c r="E198" s="45">
        <v>9000</v>
      </c>
      <c r="F198" s="45">
        <v>9000</v>
      </c>
      <c r="G198" s="45">
        <v>9000</v>
      </c>
    </row>
    <row r="199" spans="1:7">
      <c r="A199" s="60">
        <v>3231</v>
      </c>
      <c r="B199" s="155" t="s">
        <v>37</v>
      </c>
      <c r="C199" s="156" t="s">
        <v>233</v>
      </c>
      <c r="D199" s="156" t="s">
        <v>234</v>
      </c>
      <c r="E199" s="58">
        <v>51000</v>
      </c>
      <c r="F199" s="58">
        <v>51000</v>
      </c>
      <c r="G199" s="58">
        <v>51000</v>
      </c>
    </row>
    <row r="200" spans="1:7">
      <c r="A200" s="57">
        <v>3232</v>
      </c>
      <c r="B200" s="88" t="s">
        <v>39</v>
      </c>
      <c r="C200" s="44" t="s">
        <v>233</v>
      </c>
      <c r="D200" s="44" t="s">
        <v>82</v>
      </c>
      <c r="E200" s="45">
        <v>9000</v>
      </c>
      <c r="F200" s="45">
        <v>9000</v>
      </c>
      <c r="G200" s="45">
        <v>9000</v>
      </c>
    </row>
    <row r="201" spans="1:7">
      <c r="A201" s="60">
        <v>3232</v>
      </c>
      <c r="B201" s="155" t="s">
        <v>39</v>
      </c>
      <c r="C201" s="156" t="s">
        <v>233</v>
      </c>
      <c r="D201" s="156" t="s">
        <v>234</v>
      </c>
      <c r="E201" s="58">
        <v>51000</v>
      </c>
      <c r="F201" s="58">
        <v>51000</v>
      </c>
      <c r="G201" s="58">
        <v>51000</v>
      </c>
    </row>
    <row r="202" spans="1:7">
      <c r="A202" s="57">
        <v>3233</v>
      </c>
      <c r="B202" s="88" t="s">
        <v>41</v>
      </c>
      <c r="C202" s="44" t="s">
        <v>233</v>
      </c>
      <c r="D202" s="44" t="s">
        <v>82</v>
      </c>
      <c r="E202" s="45">
        <v>361950</v>
      </c>
      <c r="F202" s="45">
        <v>361950</v>
      </c>
      <c r="G202" s="45">
        <v>361950</v>
      </c>
    </row>
    <row r="203" spans="1:7">
      <c r="A203" s="60">
        <v>3233</v>
      </c>
      <c r="B203" s="155" t="s">
        <v>41</v>
      </c>
      <c r="C203" s="156" t="s">
        <v>233</v>
      </c>
      <c r="D203" s="156" t="s">
        <v>234</v>
      </c>
      <c r="E203" s="58">
        <v>2051050</v>
      </c>
      <c r="F203" s="58">
        <v>2051050</v>
      </c>
      <c r="G203" s="58">
        <v>2051050</v>
      </c>
    </row>
    <row r="204" spans="1:7">
      <c r="A204" s="57">
        <v>3234</v>
      </c>
      <c r="B204" s="158" t="s">
        <v>43</v>
      </c>
      <c r="C204" s="154" t="s">
        <v>233</v>
      </c>
      <c r="D204" s="154" t="s">
        <v>82</v>
      </c>
      <c r="E204" s="59">
        <v>15000</v>
      </c>
      <c r="F204" s="59">
        <v>15000</v>
      </c>
      <c r="G204" s="59">
        <v>15000</v>
      </c>
    </row>
    <row r="205" spans="1:7">
      <c r="A205" s="60">
        <v>3234</v>
      </c>
      <c r="B205" s="163" t="s">
        <v>43</v>
      </c>
      <c r="C205" s="156" t="s">
        <v>233</v>
      </c>
      <c r="D205" s="156" t="s">
        <v>234</v>
      </c>
      <c r="E205" s="58">
        <v>63750</v>
      </c>
      <c r="F205" s="58">
        <v>63750</v>
      </c>
      <c r="G205" s="58">
        <v>63750</v>
      </c>
    </row>
    <row r="206" spans="1:7">
      <c r="A206" s="57" t="s">
        <v>44</v>
      </c>
      <c r="B206" s="88" t="s">
        <v>45</v>
      </c>
      <c r="C206" s="154" t="s">
        <v>233</v>
      </c>
      <c r="D206" s="154" t="s">
        <v>82</v>
      </c>
      <c r="E206" s="59">
        <v>239400</v>
      </c>
      <c r="F206" s="59">
        <v>239400</v>
      </c>
      <c r="G206" s="59">
        <v>239400</v>
      </c>
    </row>
    <row r="207" spans="1:7">
      <c r="A207" s="60" t="s">
        <v>44</v>
      </c>
      <c r="B207" s="155" t="s">
        <v>45</v>
      </c>
      <c r="C207" s="156" t="s">
        <v>233</v>
      </c>
      <c r="D207" s="156" t="s">
        <v>234</v>
      </c>
      <c r="E207" s="58">
        <v>1356600</v>
      </c>
      <c r="F207" s="58">
        <v>1356600</v>
      </c>
      <c r="G207" s="58">
        <v>1356600</v>
      </c>
    </row>
    <row r="208" spans="1:7">
      <c r="A208" s="57" t="s">
        <v>48</v>
      </c>
      <c r="B208" s="88" t="s">
        <v>49</v>
      </c>
      <c r="C208" s="154" t="s">
        <v>233</v>
      </c>
      <c r="D208" s="154" t="s">
        <v>82</v>
      </c>
      <c r="E208" s="59">
        <v>5033000</v>
      </c>
      <c r="F208" s="59">
        <v>6033000</v>
      </c>
      <c r="G208" s="59">
        <v>6033000</v>
      </c>
    </row>
    <row r="209" spans="1:7">
      <c r="A209" s="60" t="s">
        <v>48</v>
      </c>
      <c r="B209" s="155" t="s">
        <v>49</v>
      </c>
      <c r="C209" s="156" t="s">
        <v>233</v>
      </c>
      <c r="D209" s="156" t="s">
        <v>234</v>
      </c>
      <c r="E209" s="58">
        <v>40640400</v>
      </c>
      <c r="F209" s="58">
        <v>40640400</v>
      </c>
      <c r="G209" s="58">
        <v>40640400</v>
      </c>
    </row>
    <row r="210" spans="1:7">
      <c r="A210" s="57">
        <v>3239</v>
      </c>
      <c r="B210" s="88" t="s">
        <v>53</v>
      </c>
      <c r="C210" s="154" t="s">
        <v>233</v>
      </c>
      <c r="D210" s="154" t="s">
        <v>82</v>
      </c>
      <c r="E210" s="59">
        <v>50000</v>
      </c>
      <c r="F210" s="59">
        <v>50000</v>
      </c>
      <c r="G210" s="59">
        <v>50000</v>
      </c>
    </row>
    <row r="211" spans="1:7">
      <c r="A211" s="60">
        <v>3239</v>
      </c>
      <c r="B211" s="155" t="s">
        <v>53</v>
      </c>
      <c r="C211" s="156" t="s">
        <v>233</v>
      </c>
      <c r="D211" s="156" t="s">
        <v>234</v>
      </c>
      <c r="E211" s="58">
        <v>291125</v>
      </c>
      <c r="F211" s="58">
        <v>291125</v>
      </c>
      <c r="G211" s="58">
        <v>291125</v>
      </c>
    </row>
    <row r="212" spans="1:7">
      <c r="A212" s="40" t="s">
        <v>54</v>
      </c>
      <c r="B212" s="41" t="s">
        <v>58</v>
      </c>
      <c r="C212" s="42" t="s">
        <v>233</v>
      </c>
      <c r="D212" s="42"/>
      <c r="E212" s="43">
        <f>E213+E214</f>
        <v>70000</v>
      </c>
      <c r="F212" s="43">
        <f t="shared" ref="F212:G212" si="54">F213+F214</f>
        <v>70000</v>
      </c>
      <c r="G212" s="43">
        <f t="shared" si="54"/>
        <v>70000</v>
      </c>
    </row>
    <row r="213" spans="1:7">
      <c r="A213" s="57">
        <v>3241</v>
      </c>
      <c r="B213" s="88" t="s">
        <v>420</v>
      </c>
      <c r="C213" s="154" t="s">
        <v>233</v>
      </c>
      <c r="D213" s="154" t="s">
        <v>82</v>
      </c>
      <c r="E213" s="59">
        <v>10500</v>
      </c>
      <c r="F213" s="59">
        <v>10500</v>
      </c>
      <c r="G213" s="59">
        <v>10500</v>
      </c>
    </row>
    <row r="214" spans="1:7">
      <c r="A214" s="60">
        <v>3241</v>
      </c>
      <c r="B214" s="155" t="s">
        <v>420</v>
      </c>
      <c r="C214" s="156" t="s">
        <v>233</v>
      </c>
      <c r="D214" s="156" t="s">
        <v>234</v>
      </c>
      <c r="E214" s="58">
        <v>59500</v>
      </c>
      <c r="F214" s="58">
        <v>59500</v>
      </c>
      <c r="G214" s="58">
        <v>59500</v>
      </c>
    </row>
    <row r="215" spans="1:7">
      <c r="A215" s="40" t="s">
        <v>57</v>
      </c>
      <c r="B215" s="41" t="s">
        <v>58</v>
      </c>
      <c r="C215" s="42" t="s">
        <v>233</v>
      </c>
      <c r="D215" s="42"/>
      <c r="E215" s="43">
        <f>E218+E219+E216+E217+E220+E221+E222+E223</f>
        <v>794100</v>
      </c>
      <c r="F215" s="43">
        <f t="shared" ref="F215:G215" si="55">F218+F219+F216+F217+F220+F221+F222+F223</f>
        <v>794100</v>
      </c>
      <c r="G215" s="43">
        <f t="shared" si="55"/>
        <v>794100</v>
      </c>
    </row>
    <row r="216" spans="1:7">
      <c r="A216" s="57">
        <v>3291</v>
      </c>
      <c r="B216" s="88" t="s">
        <v>60</v>
      </c>
      <c r="C216" s="154" t="s">
        <v>233</v>
      </c>
      <c r="D216" s="154" t="s">
        <v>82</v>
      </c>
      <c r="E216" s="59">
        <v>10000</v>
      </c>
      <c r="F216" s="59">
        <v>10000</v>
      </c>
      <c r="G216" s="59">
        <v>10000</v>
      </c>
    </row>
    <row r="217" spans="1:7">
      <c r="A217" s="60">
        <v>3291</v>
      </c>
      <c r="B217" s="155" t="s">
        <v>60</v>
      </c>
      <c r="C217" s="156" t="s">
        <v>233</v>
      </c>
      <c r="D217" s="156" t="s">
        <v>234</v>
      </c>
      <c r="E217" s="58">
        <v>29750</v>
      </c>
      <c r="F217" s="58">
        <v>29750</v>
      </c>
      <c r="G217" s="58">
        <v>29750</v>
      </c>
    </row>
    <row r="218" spans="1:7">
      <c r="A218" s="57" t="s">
        <v>63</v>
      </c>
      <c r="B218" s="88" t="s">
        <v>64</v>
      </c>
      <c r="C218" s="154" t="s">
        <v>233</v>
      </c>
      <c r="D218" s="154" t="s">
        <v>82</v>
      </c>
      <c r="E218" s="59">
        <v>110000</v>
      </c>
      <c r="F218" s="59">
        <v>110000</v>
      </c>
      <c r="G218" s="59">
        <v>110000</v>
      </c>
    </row>
    <row r="219" spans="1:7" ht="15" customHeight="1">
      <c r="A219" s="60" t="s">
        <v>63</v>
      </c>
      <c r="B219" s="155" t="s">
        <v>64</v>
      </c>
      <c r="C219" s="156" t="s">
        <v>233</v>
      </c>
      <c r="D219" s="156" t="s">
        <v>234</v>
      </c>
      <c r="E219" s="58">
        <v>621350</v>
      </c>
      <c r="F219" s="58">
        <v>621350</v>
      </c>
      <c r="G219" s="58">
        <v>621350</v>
      </c>
    </row>
    <row r="220" spans="1:7">
      <c r="A220" s="57">
        <v>3294</v>
      </c>
      <c r="B220" s="88" t="s">
        <v>66</v>
      </c>
      <c r="C220" s="154" t="s">
        <v>233</v>
      </c>
      <c r="D220" s="154" t="s">
        <v>82</v>
      </c>
      <c r="E220" s="59">
        <v>3000</v>
      </c>
      <c r="F220" s="59">
        <v>3000</v>
      </c>
      <c r="G220" s="59">
        <v>3000</v>
      </c>
    </row>
    <row r="221" spans="1:7">
      <c r="A221" s="60">
        <v>3294</v>
      </c>
      <c r="B221" s="155" t="s">
        <v>66</v>
      </c>
      <c r="C221" s="156" t="s">
        <v>233</v>
      </c>
      <c r="D221" s="156" t="s">
        <v>234</v>
      </c>
      <c r="E221" s="58">
        <v>17000</v>
      </c>
      <c r="F221" s="58">
        <v>17000</v>
      </c>
      <c r="G221" s="58">
        <v>17000</v>
      </c>
    </row>
    <row r="222" spans="1:7">
      <c r="A222" s="57">
        <v>3295</v>
      </c>
      <c r="B222" s="88" t="s">
        <v>68</v>
      </c>
      <c r="C222" s="154" t="s">
        <v>233</v>
      </c>
      <c r="D222" s="154" t="s">
        <v>82</v>
      </c>
      <c r="E222" s="59">
        <v>450</v>
      </c>
      <c r="F222" s="59">
        <v>450</v>
      </c>
      <c r="G222" s="59">
        <v>450</v>
      </c>
    </row>
    <row r="223" spans="1:7">
      <c r="A223" s="60">
        <v>3295</v>
      </c>
      <c r="B223" s="155" t="s">
        <v>68</v>
      </c>
      <c r="C223" s="156" t="s">
        <v>233</v>
      </c>
      <c r="D223" s="156" t="s">
        <v>234</v>
      </c>
      <c r="E223" s="58">
        <v>2550</v>
      </c>
      <c r="F223" s="58">
        <v>2550</v>
      </c>
      <c r="G223" s="58">
        <v>2550</v>
      </c>
    </row>
    <row r="224" spans="1:7">
      <c r="A224" s="486">
        <v>353</v>
      </c>
      <c r="B224" s="508" t="s">
        <v>456</v>
      </c>
      <c r="C224" s="488" t="s">
        <v>233</v>
      </c>
      <c r="D224" s="488"/>
      <c r="E224" s="489">
        <f>E225</f>
        <v>139121614</v>
      </c>
      <c r="F224" s="489">
        <f t="shared" ref="F224:G224" si="56">F225</f>
        <v>321326924</v>
      </c>
      <c r="G224" s="489">
        <f t="shared" si="56"/>
        <v>343413409</v>
      </c>
    </row>
    <row r="225" spans="1:12">
      <c r="A225" s="442">
        <v>3531</v>
      </c>
      <c r="B225" s="507" t="s">
        <v>456</v>
      </c>
      <c r="C225" s="443"/>
      <c r="D225" s="443" t="s">
        <v>234</v>
      </c>
      <c r="E225" s="444">
        <v>139121614</v>
      </c>
      <c r="F225" s="444">
        <v>321326924</v>
      </c>
      <c r="G225" s="444">
        <v>343413409</v>
      </c>
    </row>
    <row r="226" spans="1:12" s="164" customFormat="1" ht="15">
      <c r="A226" s="53" t="s">
        <v>236</v>
      </c>
      <c r="B226" s="54" t="s">
        <v>237</v>
      </c>
      <c r="C226" s="55" t="s">
        <v>233</v>
      </c>
      <c r="D226" s="55" t="s">
        <v>234</v>
      </c>
      <c r="E226" s="56">
        <f>E227+E228</f>
        <v>58833028</v>
      </c>
      <c r="F226" s="56">
        <f t="shared" ref="F226:G226" si="57">F227+F228</f>
        <v>380212400</v>
      </c>
      <c r="G226" s="56">
        <f t="shared" si="57"/>
        <v>99555086</v>
      </c>
    </row>
    <row r="227" spans="1:12" ht="14.25" customHeight="1">
      <c r="A227" s="60">
        <v>3681</v>
      </c>
      <c r="B227" s="155" t="s">
        <v>238</v>
      </c>
      <c r="C227" s="156" t="s">
        <v>233</v>
      </c>
      <c r="D227" s="156" t="s">
        <v>234</v>
      </c>
      <c r="E227" s="58">
        <v>18089714</v>
      </c>
      <c r="F227" s="58">
        <v>10151143</v>
      </c>
      <c r="G227" s="290">
        <v>3379543</v>
      </c>
    </row>
    <row r="228" spans="1:12">
      <c r="A228" s="60">
        <v>3682</v>
      </c>
      <c r="B228" s="155" t="s">
        <v>239</v>
      </c>
      <c r="C228" s="156" t="s">
        <v>233</v>
      </c>
      <c r="D228" s="156" t="s">
        <v>234</v>
      </c>
      <c r="E228" s="529">
        <v>40743314</v>
      </c>
      <c r="F228" s="529">
        <v>370061257</v>
      </c>
      <c r="G228" s="290">
        <v>96175543</v>
      </c>
      <c r="J228" s="58">
        <v>458743314</v>
      </c>
      <c r="K228" s="58">
        <v>788061257</v>
      </c>
      <c r="L228" s="290">
        <v>96175543</v>
      </c>
    </row>
    <row r="229" spans="1:12">
      <c r="A229" s="486">
        <v>-372</v>
      </c>
      <c r="B229" s="530" t="s">
        <v>440</v>
      </c>
      <c r="C229" s="488" t="s">
        <v>233</v>
      </c>
      <c r="D229" s="488"/>
      <c r="E229" s="489">
        <f>E230+E231</f>
        <v>149200</v>
      </c>
      <c r="F229" s="489">
        <f t="shared" ref="F229:G229" si="58">F230+F231</f>
        <v>149200</v>
      </c>
      <c r="G229" s="489">
        <f t="shared" si="58"/>
        <v>149200</v>
      </c>
      <c r="J229" s="58">
        <v>418000000</v>
      </c>
      <c r="K229" s="58">
        <v>418000000</v>
      </c>
    </row>
    <row r="230" spans="1:12">
      <c r="A230" s="57">
        <v>3721</v>
      </c>
      <c r="B230" s="88" t="s">
        <v>175</v>
      </c>
      <c r="C230" s="154" t="s">
        <v>233</v>
      </c>
      <c r="D230" s="154" t="s">
        <v>82</v>
      </c>
      <c r="E230" s="59">
        <v>20000</v>
      </c>
      <c r="F230" s="59">
        <v>20000</v>
      </c>
      <c r="G230" s="59">
        <v>20000</v>
      </c>
      <c r="J230" s="529">
        <f>J228-J229</f>
        <v>40743314</v>
      </c>
      <c r="K230" s="529">
        <f>K228-K229</f>
        <v>370061257</v>
      </c>
    </row>
    <row r="231" spans="1:12">
      <c r="A231" s="60">
        <v>3721</v>
      </c>
      <c r="B231" s="155" t="s">
        <v>175</v>
      </c>
      <c r="C231" s="156" t="s">
        <v>233</v>
      </c>
      <c r="D231" s="156" t="s">
        <v>234</v>
      </c>
      <c r="E231" s="58">
        <v>129200</v>
      </c>
      <c r="F231" s="58">
        <v>129200</v>
      </c>
      <c r="G231" s="290">
        <v>129200</v>
      </c>
    </row>
    <row r="232" spans="1:12">
      <c r="A232" s="486">
        <v>-383</v>
      </c>
      <c r="B232" s="487" t="s">
        <v>441</v>
      </c>
      <c r="C232" s="488" t="s">
        <v>233</v>
      </c>
      <c r="D232" s="488"/>
      <c r="E232" s="489">
        <f>E233+E234</f>
        <v>78750</v>
      </c>
      <c r="F232" s="489">
        <f t="shared" ref="F232:G232" si="59">F233+F234</f>
        <v>78750</v>
      </c>
      <c r="G232" s="489">
        <f t="shared" si="59"/>
        <v>78750</v>
      </c>
    </row>
    <row r="233" spans="1:12">
      <c r="A233" s="57">
        <v>3834</v>
      </c>
      <c r="B233" s="88" t="s">
        <v>421</v>
      </c>
      <c r="C233" s="154" t="s">
        <v>233</v>
      </c>
      <c r="D233" s="154" t="s">
        <v>82</v>
      </c>
      <c r="E233" s="59">
        <v>15000</v>
      </c>
      <c r="F233" s="59">
        <v>15000</v>
      </c>
      <c r="G233" s="59">
        <v>15000</v>
      </c>
    </row>
    <row r="234" spans="1:12" ht="14.25" customHeight="1">
      <c r="A234" s="60">
        <v>3834</v>
      </c>
      <c r="B234" s="155" t="s">
        <v>421</v>
      </c>
      <c r="C234" s="156" t="s">
        <v>233</v>
      </c>
      <c r="D234" s="156" t="s">
        <v>234</v>
      </c>
      <c r="E234" s="58">
        <v>63750</v>
      </c>
      <c r="F234" s="58">
        <v>63750</v>
      </c>
      <c r="G234" s="58">
        <v>63750</v>
      </c>
    </row>
    <row r="235" spans="1:12" hidden="1">
      <c r="A235" s="53" t="s">
        <v>240</v>
      </c>
      <c r="B235" s="54" t="s">
        <v>241</v>
      </c>
      <c r="C235" s="55" t="s">
        <v>233</v>
      </c>
      <c r="D235" s="55" t="s">
        <v>234</v>
      </c>
      <c r="E235" s="56">
        <f>E236+E237</f>
        <v>0</v>
      </c>
      <c r="F235" s="56">
        <f t="shared" ref="F235:G235" si="60">F236+F237</f>
        <v>0</v>
      </c>
      <c r="G235" s="294">
        <f t="shared" si="60"/>
        <v>0</v>
      </c>
    </row>
    <row r="236" spans="1:12" hidden="1">
      <c r="A236" s="510">
        <v>3841</v>
      </c>
      <c r="B236" s="511" t="s">
        <v>242</v>
      </c>
      <c r="C236" s="512" t="s">
        <v>233</v>
      </c>
      <c r="D236" s="512" t="s">
        <v>234</v>
      </c>
      <c r="E236" s="513"/>
      <c r="F236" s="513"/>
      <c r="G236" s="514"/>
    </row>
    <row r="237" spans="1:12" hidden="1">
      <c r="A237" s="510">
        <v>3842</v>
      </c>
      <c r="B237" s="511" t="s">
        <v>243</v>
      </c>
      <c r="C237" s="512" t="s">
        <v>233</v>
      </c>
      <c r="D237" s="512" t="s">
        <v>234</v>
      </c>
      <c r="E237" s="513"/>
      <c r="F237" s="513"/>
      <c r="G237" s="514"/>
    </row>
    <row r="238" spans="1:12">
      <c r="A238" s="53" t="s">
        <v>332</v>
      </c>
      <c r="B238" s="508" t="s">
        <v>454</v>
      </c>
      <c r="C238" s="443" t="s">
        <v>233</v>
      </c>
      <c r="D238" s="443"/>
      <c r="E238" s="489">
        <f>E239</f>
        <v>172363993</v>
      </c>
      <c r="F238" s="489">
        <f t="shared" ref="F238:G238" si="61">F239</f>
        <v>63640509</v>
      </c>
      <c r="G238" s="489">
        <f t="shared" si="61"/>
        <v>726587859</v>
      </c>
    </row>
    <row r="239" spans="1:12">
      <c r="A239" s="442">
        <v>3864</v>
      </c>
      <c r="B239" s="507" t="s">
        <v>455</v>
      </c>
      <c r="C239" s="443" t="s">
        <v>233</v>
      </c>
      <c r="D239" s="443" t="s">
        <v>234</v>
      </c>
      <c r="E239" s="444">
        <v>172363993</v>
      </c>
      <c r="F239" s="444">
        <v>63640509</v>
      </c>
      <c r="G239" s="444">
        <v>726587859</v>
      </c>
    </row>
    <row r="240" spans="1:12">
      <c r="A240" s="40" t="s">
        <v>176</v>
      </c>
      <c r="B240" s="41" t="s">
        <v>89</v>
      </c>
      <c r="C240" s="42" t="s">
        <v>233</v>
      </c>
      <c r="D240" s="263"/>
      <c r="E240" s="263">
        <f>E242+E241</f>
        <v>49942312</v>
      </c>
      <c r="F240" s="263">
        <f t="shared" ref="F240:G240" si="62">F242+F241</f>
        <v>0</v>
      </c>
      <c r="G240" s="263">
        <f t="shared" si="62"/>
        <v>0</v>
      </c>
    </row>
    <row r="241" spans="1:7">
      <c r="A241" s="430">
        <v>4212</v>
      </c>
      <c r="B241" s="261" t="s">
        <v>378</v>
      </c>
      <c r="C241" s="409"/>
      <c r="D241" s="450">
        <v>11</v>
      </c>
      <c r="E241" s="449">
        <v>3500000</v>
      </c>
      <c r="F241" s="449">
        <v>0</v>
      </c>
      <c r="G241" s="491">
        <v>0</v>
      </c>
    </row>
    <row r="242" spans="1:7">
      <c r="A242" s="259">
        <v>4212</v>
      </c>
      <c r="B242" s="262" t="s">
        <v>378</v>
      </c>
      <c r="C242" s="156" t="s">
        <v>233</v>
      </c>
      <c r="D242" s="260" t="s">
        <v>234</v>
      </c>
      <c r="E242" s="152">
        <v>46442312</v>
      </c>
      <c r="F242" s="152">
        <v>0</v>
      </c>
      <c r="G242" s="295">
        <v>0</v>
      </c>
    </row>
    <row r="243" spans="1:7">
      <c r="A243" s="40" t="s">
        <v>88</v>
      </c>
      <c r="B243" s="41" t="s">
        <v>89</v>
      </c>
      <c r="C243" s="42" t="s">
        <v>233</v>
      </c>
      <c r="D243" s="42"/>
      <c r="E243" s="43">
        <f>E244+E245+E246+E247</f>
        <v>69357731</v>
      </c>
      <c r="F243" s="43">
        <f t="shared" ref="F243:G243" si="63">F244+F245+F246+F247</f>
        <v>4520000</v>
      </c>
      <c r="G243" s="43">
        <f t="shared" si="63"/>
        <v>770000</v>
      </c>
    </row>
    <row r="244" spans="1:7">
      <c r="A244" s="57" t="s">
        <v>90</v>
      </c>
      <c r="B244" s="88" t="s">
        <v>91</v>
      </c>
      <c r="C244" s="154" t="s">
        <v>233</v>
      </c>
      <c r="D244" s="154" t="s">
        <v>82</v>
      </c>
      <c r="E244" s="59">
        <v>112500</v>
      </c>
      <c r="F244" s="59">
        <v>112500</v>
      </c>
      <c r="G244" s="59">
        <v>112500</v>
      </c>
    </row>
    <row r="245" spans="1:7">
      <c r="A245" s="60" t="s">
        <v>90</v>
      </c>
      <c r="B245" s="155" t="s">
        <v>91</v>
      </c>
      <c r="C245" s="156" t="s">
        <v>233</v>
      </c>
      <c r="D245" s="156" t="s">
        <v>234</v>
      </c>
      <c r="E245" s="58">
        <v>69225231</v>
      </c>
      <c r="F245" s="58">
        <v>4387500</v>
      </c>
      <c r="G245" s="290">
        <v>637500</v>
      </c>
    </row>
    <row r="246" spans="1:7">
      <c r="A246" s="57">
        <v>4222</v>
      </c>
      <c r="B246" s="88" t="s">
        <v>93</v>
      </c>
      <c r="C246" s="154" t="s">
        <v>233</v>
      </c>
      <c r="D246" s="154" t="s">
        <v>82</v>
      </c>
      <c r="E246" s="59">
        <v>3000</v>
      </c>
      <c r="F246" s="59">
        <v>3000</v>
      </c>
      <c r="G246" s="59">
        <v>3000</v>
      </c>
    </row>
    <row r="247" spans="1:7">
      <c r="A247" s="60">
        <v>4222</v>
      </c>
      <c r="B247" s="155" t="s">
        <v>93</v>
      </c>
      <c r="C247" s="156" t="s">
        <v>233</v>
      </c>
      <c r="D247" s="156" t="s">
        <v>234</v>
      </c>
      <c r="E247" s="58">
        <v>17000</v>
      </c>
      <c r="F247" s="58">
        <v>17000</v>
      </c>
      <c r="G247" s="58">
        <v>17000</v>
      </c>
    </row>
    <row r="248" spans="1:7">
      <c r="A248" s="320" t="s">
        <v>342</v>
      </c>
      <c r="B248" s="321" t="s">
        <v>343</v>
      </c>
      <c r="C248" s="536" t="s">
        <v>233</v>
      </c>
      <c r="D248" s="536"/>
      <c r="E248" s="537">
        <f>E249+E250</f>
        <v>418000000</v>
      </c>
      <c r="F248" s="537">
        <f t="shared" ref="F248:G248" si="64">F249+F250</f>
        <v>418000000</v>
      </c>
      <c r="G248" s="537">
        <f t="shared" si="64"/>
        <v>0</v>
      </c>
    </row>
    <row r="249" spans="1:7">
      <c r="A249" s="464">
        <v>5163</v>
      </c>
      <c r="B249" s="465" t="s">
        <v>344</v>
      </c>
      <c r="C249" s="531" t="s">
        <v>233</v>
      </c>
      <c r="D249" s="531" t="s">
        <v>234</v>
      </c>
      <c r="E249" s="535">
        <v>378000000</v>
      </c>
      <c r="F249" s="535">
        <v>378000000</v>
      </c>
      <c r="G249" s="535">
        <v>0</v>
      </c>
    </row>
    <row r="250" spans="1:7">
      <c r="A250" s="464">
        <v>5164</v>
      </c>
      <c r="B250" s="465" t="s">
        <v>345</v>
      </c>
      <c r="C250" s="531" t="s">
        <v>233</v>
      </c>
      <c r="D250" s="531" t="s">
        <v>234</v>
      </c>
      <c r="E250" s="535">
        <v>40000000</v>
      </c>
      <c r="F250" s="535">
        <v>40000000</v>
      </c>
      <c r="G250" s="535">
        <v>0</v>
      </c>
    </row>
    <row r="251" spans="1:7">
      <c r="A251" s="358" t="s">
        <v>408</v>
      </c>
      <c r="B251" s="167" t="s">
        <v>450</v>
      </c>
      <c r="C251" s="168" t="s">
        <v>233</v>
      </c>
      <c r="D251" s="169"/>
      <c r="E251" s="169">
        <f>E252+E255+E257+E259+E261+E263+E265</f>
        <v>21825000</v>
      </c>
      <c r="F251" s="169">
        <f t="shared" ref="F251:G251" si="65">F252+F255+F257+F259+F261+F263+F265</f>
        <v>22600000</v>
      </c>
      <c r="G251" s="169">
        <f t="shared" si="65"/>
        <v>22600000</v>
      </c>
    </row>
    <row r="252" spans="1:7">
      <c r="A252" s="170" t="s">
        <v>196</v>
      </c>
      <c r="B252" s="41" t="s">
        <v>444</v>
      </c>
      <c r="C252" s="180" t="s">
        <v>233</v>
      </c>
      <c r="D252" s="357">
        <v>12</v>
      </c>
      <c r="E252" s="137">
        <f>E253+E254</f>
        <v>450000</v>
      </c>
      <c r="F252" s="137">
        <f t="shared" ref="F252:G252" si="66">F253+F254</f>
        <v>450000</v>
      </c>
      <c r="G252" s="299">
        <f t="shared" si="66"/>
        <v>450000</v>
      </c>
    </row>
    <row r="253" spans="1:7" s="243" customFormat="1" ht="14.25" customHeight="1">
      <c r="A253" s="172">
        <v>3522</v>
      </c>
      <c r="B253" s="88" t="s">
        <v>443</v>
      </c>
      <c r="C253" s="180" t="s">
        <v>233</v>
      </c>
      <c r="D253" s="174" t="s">
        <v>82</v>
      </c>
      <c r="E253" s="138">
        <v>150000</v>
      </c>
      <c r="F253" s="138">
        <v>150000</v>
      </c>
      <c r="G253" s="185">
        <v>150000</v>
      </c>
    </row>
    <row r="254" spans="1:7" s="243" customFormat="1" ht="14.25" customHeight="1">
      <c r="A254" s="492">
        <v>3523</v>
      </c>
      <c r="B254" s="493" t="s">
        <v>341</v>
      </c>
      <c r="C254" s="180" t="s">
        <v>233</v>
      </c>
      <c r="D254" s="174" t="s">
        <v>82</v>
      </c>
      <c r="E254" s="138">
        <v>300000</v>
      </c>
      <c r="F254" s="424">
        <v>300000</v>
      </c>
      <c r="G254" s="185">
        <v>300000</v>
      </c>
    </row>
    <row r="255" spans="1:7" s="243" customFormat="1" ht="14.25" customHeight="1">
      <c r="A255" s="178">
        <v>353</v>
      </c>
      <c r="B255" s="41" t="s">
        <v>443</v>
      </c>
      <c r="C255" s="409" t="s">
        <v>233</v>
      </c>
      <c r="D255" s="426" t="s">
        <v>316</v>
      </c>
      <c r="E255" s="410">
        <f>E256</f>
        <v>16875000</v>
      </c>
      <c r="F255" s="410">
        <f t="shared" ref="F255:G255" si="67">F256</f>
        <v>16450000</v>
      </c>
      <c r="G255" s="410">
        <f t="shared" si="67"/>
        <v>16450000</v>
      </c>
    </row>
    <row r="256" spans="1:7" s="243" customFormat="1" ht="14.25" customHeight="1">
      <c r="A256" s="175">
        <v>3531</v>
      </c>
      <c r="B256" s="509" t="s">
        <v>457</v>
      </c>
      <c r="C256" s="187" t="s">
        <v>233</v>
      </c>
      <c r="D256" s="177" t="s">
        <v>316</v>
      </c>
      <c r="E256" s="139">
        <v>16875000</v>
      </c>
      <c r="F256" s="139">
        <v>16450000</v>
      </c>
      <c r="G256" s="298">
        <v>16450000</v>
      </c>
    </row>
    <row r="257" spans="1:7">
      <c r="A257" s="415">
        <v>-363</v>
      </c>
      <c r="B257" s="428" t="s">
        <v>418</v>
      </c>
      <c r="C257" s="409" t="s">
        <v>233</v>
      </c>
      <c r="D257" s="420"/>
      <c r="E257" s="410">
        <f>SUM(E258)</f>
        <v>300000</v>
      </c>
      <c r="F257" s="410">
        <f t="shared" ref="F257:G257" si="68">SUM(F258)</f>
        <v>300000</v>
      </c>
      <c r="G257" s="410">
        <f t="shared" si="68"/>
        <v>300000</v>
      </c>
    </row>
    <row r="258" spans="1:7" ht="14.25" customHeight="1">
      <c r="A258" s="412">
        <v>3631</v>
      </c>
      <c r="B258" s="425" t="s">
        <v>417</v>
      </c>
      <c r="C258" s="409" t="s">
        <v>233</v>
      </c>
      <c r="D258" s="426" t="s">
        <v>82</v>
      </c>
      <c r="E258" s="427">
        <v>300000</v>
      </c>
      <c r="F258" s="413">
        <v>300000</v>
      </c>
      <c r="G258" s="414">
        <v>300000</v>
      </c>
    </row>
    <row r="259" spans="1:7">
      <c r="A259" s="178">
        <v>-368</v>
      </c>
      <c r="B259" s="499" t="s">
        <v>237</v>
      </c>
      <c r="C259" s="180" t="s">
        <v>233</v>
      </c>
      <c r="D259" s="162"/>
      <c r="E259" s="162">
        <f>E260</f>
        <v>2125000</v>
      </c>
      <c r="F259" s="162">
        <f t="shared" ref="F259:G259" si="69">F260</f>
        <v>2550000</v>
      </c>
      <c r="G259" s="300">
        <f t="shared" si="69"/>
        <v>2550000</v>
      </c>
    </row>
    <row r="260" spans="1:7" ht="14.25" customHeight="1">
      <c r="A260" s="175">
        <v>3681</v>
      </c>
      <c r="B260" s="176" t="s">
        <v>238</v>
      </c>
      <c r="C260" s="187" t="s">
        <v>233</v>
      </c>
      <c r="D260" s="177" t="s">
        <v>316</v>
      </c>
      <c r="E260" s="139">
        <v>2125000</v>
      </c>
      <c r="F260" s="139">
        <v>2550000</v>
      </c>
      <c r="G260" s="298">
        <v>2550000</v>
      </c>
    </row>
    <row r="261" spans="1:7" ht="14.25" customHeight="1">
      <c r="A261" s="178">
        <v>-372</v>
      </c>
      <c r="B261" s="171" t="s">
        <v>440</v>
      </c>
      <c r="C261" s="180" t="s">
        <v>233</v>
      </c>
      <c r="D261" s="162"/>
      <c r="E261" s="162">
        <f>E262</f>
        <v>2000000</v>
      </c>
      <c r="F261" s="162">
        <f t="shared" ref="F261:G261" si="70">F262</f>
        <v>2700000</v>
      </c>
      <c r="G261" s="300">
        <f t="shared" si="70"/>
        <v>2700000</v>
      </c>
    </row>
    <row r="262" spans="1:7">
      <c r="A262" s="172">
        <v>3721</v>
      </c>
      <c r="B262" s="173" t="s">
        <v>175</v>
      </c>
      <c r="C262" s="180" t="s">
        <v>233</v>
      </c>
      <c r="D262" s="174" t="s">
        <v>82</v>
      </c>
      <c r="E262" s="138">
        <v>2000000</v>
      </c>
      <c r="F262" s="138">
        <v>2700000</v>
      </c>
      <c r="G262" s="185">
        <v>2700000</v>
      </c>
    </row>
    <row r="263" spans="1:7" ht="14.25" customHeight="1">
      <c r="A263" s="178">
        <v>-381</v>
      </c>
      <c r="B263" s="171" t="s">
        <v>79</v>
      </c>
      <c r="C263" s="180" t="s">
        <v>233</v>
      </c>
      <c r="D263" s="162"/>
      <c r="E263" s="162">
        <f t="shared" ref="E263:G263" si="71">E264</f>
        <v>75000</v>
      </c>
      <c r="F263" s="162">
        <f t="shared" si="71"/>
        <v>150000</v>
      </c>
      <c r="G263" s="300">
        <f t="shared" si="71"/>
        <v>150000</v>
      </c>
    </row>
    <row r="264" spans="1:7">
      <c r="A264" s="172">
        <v>3811</v>
      </c>
      <c r="B264" s="173" t="s">
        <v>81</v>
      </c>
      <c r="C264" s="180" t="s">
        <v>233</v>
      </c>
      <c r="D264" s="174" t="s">
        <v>82</v>
      </c>
      <c r="E264" s="138">
        <v>75000</v>
      </c>
      <c r="F264" s="138">
        <v>150000</v>
      </c>
      <c r="G264" s="185">
        <v>150000</v>
      </c>
    </row>
    <row r="265" spans="1:7">
      <c r="A265" s="178">
        <v>-384</v>
      </c>
      <c r="B265" s="171" t="s">
        <v>324</v>
      </c>
      <c r="C265" s="180" t="s">
        <v>233</v>
      </c>
      <c r="D265" s="162"/>
      <c r="E265" s="162">
        <f t="shared" ref="E265:G265" si="72">E266</f>
        <v>0</v>
      </c>
      <c r="F265" s="162">
        <f t="shared" si="72"/>
        <v>0</v>
      </c>
      <c r="G265" s="300">
        <f t="shared" si="72"/>
        <v>0</v>
      </c>
    </row>
    <row r="266" spans="1:7">
      <c r="A266" s="175">
        <v>3841</v>
      </c>
      <c r="B266" s="176" t="s">
        <v>325</v>
      </c>
      <c r="C266" s="187" t="s">
        <v>233</v>
      </c>
      <c r="D266" s="177" t="s">
        <v>316</v>
      </c>
      <c r="E266" s="139">
        <v>0</v>
      </c>
      <c r="F266" s="139">
        <v>0</v>
      </c>
      <c r="G266" s="298">
        <v>0</v>
      </c>
    </row>
    <row r="267" spans="1:7">
      <c r="A267" s="358" t="s">
        <v>410</v>
      </c>
      <c r="B267" s="167" t="s">
        <v>333</v>
      </c>
      <c r="C267" s="168" t="s">
        <v>232</v>
      </c>
      <c r="D267" s="169"/>
      <c r="E267" s="169">
        <f>E268+E272+E279+E283</f>
        <v>429000</v>
      </c>
      <c r="F267" s="169">
        <f>F268+F272+F279+F283</f>
        <v>429000</v>
      </c>
      <c r="G267" s="169">
        <f>G268+G272+G279+G283</f>
        <v>429000</v>
      </c>
    </row>
    <row r="268" spans="1:7">
      <c r="A268" s="170" t="s">
        <v>16</v>
      </c>
      <c r="B268" s="171" t="s">
        <v>17</v>
      </c>
      <c r="C268" s="180" t="s">
        <v>232</v>
      </c>
      <c r="D268" s="137"/>
      <c r="E268" s="137">
        <f t="shared" ref="E268:G268" si="73">E269+E270+E271</f>
        <v>115000</v>
      </c>
      <c r="F268" s="137">
        <f t="shared" si="73"/>
        <v>115000</v>
      </c>
      <c r="G268" s="299">
        <f t="shared" si="73"/>
        <v>115000</v>
      </c>
    </row>
    <row r="269" spans="1:7">
      <c r="A269" s="172" t="s">
        <v>18</v>
      </c>
      <c r="B269" s="173" t="s">
        <v>19</v>
      </c>
      <c r="C269" s="180" t="s">
        <v>232</v>
      </c>
      <c r="D269" s="174" t="s">
        <v>82</v>
      </c>
      <c r="E269" s="138">
        <v>15000</v>
      </c>
      <c r="F269" s="138">
        <v>15000</v>
      </c>
      <c r="G269" s="185">
        <v>15000</v>
      </c>
    </row>
    <row r="270" spans="1:7">
      <c r="A270" s="175" t="s">
        <v>18</v>
      </c>
      <c r="B270" s="176" t="s">
        <v>19</v>
      </c>
      <c r="C270" s="187" t="s">
        <v>232</v>
      </c>
      <c r="D270" s="177" t="s">
        <v>235</v>
      </c>
      <c r="E270" s="139">
        <v>100000</v>
      </c>
      <c r="F270" s="139">
        <v>100000</v>
      </c>
      <c r="G270" s="298">
        <v>100000</v>
      </c>
    </row>
    <row r="271" spans="1:7" hidden="1">
      <c r="A271" s="175">
        <v>3211</v>
      </c>
      <c r="B271" s="176" t="s">
        <v>19</v>
      </c>
      <c r="C271" s="187" t="s">
        <v>232</v>
      </c>
      <c r="D271" s="177" t="s">
        <v>315</v>
      </c>
      <c r="E271" s="139">
        <v>0</v>
      </c>
      <c r="F271" s="139"/>
      <c r="G271" s="298"/>
    </row>
    <row r="272" spans="1:7">
      <c r="A272" s="170" t="s">
        <v>34</v>
      </c>
      <c r="B272" s="171" t="s">
        <v>35</v>
      </c>
      <c r="C272" s="180" t="s">
        <v>232</v>
      </c>
      <c r="D272" s="137"/>
      <c r="E272" s="137">
        <f>+E274+E275+E273+E276+E277+E278</f>
        <v>167000</v>
      </c>
      <c r="F272" s="137">
        <f t="shared" ref="F272:G272" si="74">+F274+F275+F273+F276+F277+F278</f>
        <v>167000</v>
      </c>
      <c r="G272" s="137">
        <f t="shared" si="74"/>
        <v>167000</v>
      </c>
    </row>
    <row r="273" spans="1:7" hidden="1">
      <c r="A273" s="175">
        <v>3235</v>
      </c>
      <c r="B273" s="176" t="s">
        <v>45</v>
      </c>
      <c r="C273" s="187" t="s">
        <v>232</v>
      </c>
      <c r="D273" s="177" t="s">
        <v>315</v>
      </c>
      <c r="E273" s="139"/>
      <c r="F273" s="139"/>
      <c r="G273" s="298"/>
    </row>
    <row r="274" spans="1:7">
      <c r="A274" s="172">
        <v>3237</v>
      </c>
      <c r="B274" s="173" t="s">
        <v>49</v>
      </c>
      <c r="C274" s="180" t="s">
        <v>232</v>
      </c>
      <c r="D274" s="174" t="s">
        <v>82</v>
      </c>
      <c r="E274" s="138">
        <v>14500</v>
      </c>
      <c r="F274" s="138">
        <v>14500</v>
      </c>
      <c r="G274" s="185">
        <v>14500</v>
      </c>
    </row>
    <row r="275" spans="1:7">
      <c r="A275" s="175">
        <v>3237</v>
      </c>
      <c r="B275" s="176" t="s">
        <v>49</v>
      </c>
      <c r="C275" s="187" t="s">
        <v>232</v>
      </c>
      <c r="D275" s="177" t="s">
        <v>235</v>
      </c>
      <c r="E275" s="139">
        <v>95000</v>
      </c>
      <c r="F275" s="139">
        <v>95000</v>
      </c>
      <c r="G275" s="298">
        <v>95000</v>
      </c>
    </row>
    <row r="276" spans="1:7">
      <c r="A276" s="172">
        <v>3239</v>
      </c>
      <c r="B276" s="173" t="s">
        <v>53</v>
      </c>
      <c r="C276" s="180" t="s">
        <v>232</v>
      </c>
      <c r="D276" s="174" t="s">
        <v>82</v>
      </c>
      <c r="E276" s="138">
        <v>7500</v>
      </c>
      <c r="F276" s="138">
        <v>7500</v>
      </c>
      <c r="G276" s="185">
        <v>7500</v>
      </c>
    </row>
    <row r="277" spans="1:7">
      <c r="A277" s="175">
        <v>3239</v>
      </c>
      <c r="B277" s="176" t="s">
        <v>53</v>
      </c>
      <c r="C277" s="187" t="s">
        <v>232</v>
      </c>
      <c r="D277" s="177" t="s">
        <v>235</v>
      </c>
      <c r="E277" s="139">
        <v>50000</v>
      </c>
      <c r="F277" s="139">
        <v>50000</v>
      </c>
      <c r="G277" s="298">
        <v>50000</v>
      </c>
    </row>
    <row r="278" spans="1:7" hidden="1">
      <c r="A278" s="175">
        <v>3239</v>
      </c>
      <c r="B278" s="176" t="s">
        <v>53</v>
      </c>
      <c r="C278" s="187" t="s">
        <v>232</v>
      </c>
      <c r="D278" s="177" t="s">
        <v>315</v>
      </c>
      <c r="E278" s="139"/>
      <c r="F278" s="139"/>
      <c r="G278" s="298"/>
    </row>
    <row r="279" spans="1:7">
      <c r="A279" s="170" t="s">
        <v>54</v>
      </c>
      <c r="B279" s="171" t="s">
        <v>55</v>
      </c>
      <c r="C279" s="180" t="s">
        <v>232</v>
      </c>
      <c r="D279" s="137"/>
      <c r="E279" s="137">
        <f t="shared" ref="E279:G279" si="75">E280+E281+E282</f>
        <v>55000</v>
      </c>
      <c r="F279" s="137">
        <f t="shared" si="75"/>
        <v>55000</v>
      </c>
      <c r="G279" s="299">
        <f t="shared" si="75"/>
        <v>55000</v>
      </c>
    </row>
    <row r="280" spans="1:7">
      <c r="A280" s="172">
        <v>3241</v>
      </c>
      <c r="B280" s="173" t="s">
        <v>55</v>
      </c>
      <c r="C280" s="180" t="s">
        <v>232</v>
      </c>
      <c r="D280" s="174" t="s">
        <v>82</v>
      </c>
      <c r="E280" s="138">
        <v>10000</v>
      </c>
      <c r="F280" s="138">
        <v>10000</v>
      </c>
      <c r="G280" s="138">
        <v>10000</v>
      </c>
    </row>
    <row r="281" spans="1:7">
      <c r="A281" s="175">
        <v>3241</v>
      </c>
      <c r="B281" s="176" t="s">
        <v>55</v>
      </c>
      <c r="C281" s="187" t="s">
        <v>232</v>
      </c>
      <c r="D281" s="177" t="s">
        <v>235</v>
      </c>
      <c r="E281" s="139">
        <v>45000</v>
      </c>
      <c r="F281" s="139">
        <v>45000</v>
      </c>
      <c r="G281" s="298">
        <v>45000</v>
      </c>
    </row>
    <row r="282" spans="1:7" hidden="1">
      <c r="A282" s="175">
        <v>3241</v>
      </c>
      <c r="B282" s="176" t="s">
        <v>55</v>
      </c>
      <c r="C282" s="187" t="s">
        <v>232</v>
      </c>
      <c r="D282" s="177" t="s">
        <v>315</v>
      </c>
      <c r="E282" s="139"/>
      <c r="F282" s="139"/>
      <c r="G282" s="298"/>
    </row>
    <row r="283" spans="1:7">
      <c r="A283" s="170" t="s">
        <v>57</v>
      </c>
      <c r="B283" s="171" t="s">
        <v>58</v>
      </c>
      <c r="C283" s="180" t="s">
        <v>232</v>
      </c>
      <c r="D283" s="137"/>
      <c r="E283" s="137">
        <f t="shared" ref="E283:G283" si="76">E284+E285+E286</f>
        <v>92000</v>
      </c>
      <c r="F283" s="137">
        <f t="shared" si="76"/>
        <v>92000</v>
      </c>
      <c r="G283" s="299">
        <f t="shared" si="76"/>
        <v>92000</v>
      </c>
    </row>
    <row r="284" spans="1:7">
      <c r="A284" s="172">
        <v>3293</v>
      </c>
      <c r="B284" s="173" t="s">
        <v>64</v>
      </c>
      <c r="C284" s="180" t="s">
        <v>232</v>
      </c>
      <c r="D284" s="174" t="s">
        <v>82</v>
      </c>
      <c r="E284" s="138">
        <v>12000</v>
      </c>
      <c r="F284" s="138">
        <v>12000</v>
      </c>
      <c r="G284" s="185">
        <v>12000</v>
      </c>
    </row>
    <row r="285" spans="1:7">
      <c r="A285" s="175">
        <v>3293</v>
      </c>
      <c r="B285" s="176" t="s">
        <v>64</v>
      </c>
      <c r="C285" s="187" t="s">
        <v>232</v>
      </c>
      <c r="D285" s="177" t="s">
        <v>235</v>
      </c>
      <c r="E285" s="139">
        <v>80000</v>
      </c>
      <c r="F285" s="139">
        <v>80000</v>
      </c>
      <c r="G285" s="298">
        <v>80000</v>
      </c>
    </row>
    <row r="286" spans="1:7" hidden="1">
      <c r="A286" s="175">
        <v>3293</v>
      </c>
      <c r="B286" s="176" t="s">
        <v>64</v>
      </c>
      <c r="C286" s="187" t="s">
        <v>232</v>
      </c>
      <c r="D286" s="177" t="s">
        <v>315</v>
      </c>
      <c r="E286" s="139"/>
      <c r="F286" s="139"/>
      <c r="G286" s="298"/>
    </row>
    <row r="287" spans="1:7">
      <c r="A287" s="358" t="s">
        <v>411</v>
      </c>
      <c r="B287" s="167" t="s">
        <v>331</v>
      </c>
      <c r="C287" s="168" t="s">
        <v>233</v>
      </c>
      <c r="D287" s="169"/>
      <c r="E287" s="169">
        <f>E288+E291+E293+E295++E298</f>
        <v>3646155</v>
      </c>
      <c r="F287" s="169">
        <f t="shared" ref="F287:G287" si="77">F288+F291+F293+F295++F298</f>
        <v>0</v>
      </c>
      <c r="G287" s="169">
        <f t="shared" si="77"/>
        <v>0</v>
      </c>
    </row>
    <row r="288" spans="1:7">
      <c r="A288" s="170" t="s">
        <v>34</v>
      </c>
      <c r="B288" s="171" t="s">
        <v>35</v>
      </c>
      <c r="C288" s="180" t="s">
        <v>233</v>
      </c>
      <c r="D288" s="137"/>
      <c r="E288" s="137">
        <f>E289+E290</f>
        <v>74600</v>
      </c>
      <c r="F288" s="137">
        <f t="shared" ref="F288:G288" si="78">F289+F290</f>
        <v>0</v>
      </c>
      <c r="G288" s="137">
        <f t="shared" si="78"/>
        <v>0</v>
      </c>
    </row>
    <row r="289" spans="1:7">
      <c r="A289" s="172">
        <v>3237</v>
      </c>
      <c r="B289" s="173" t="s">
        <v>49</v>
      </c>
      <c r="C289" s="180" t="s">
        <v>233</v>
      </c>
      <c r="D289" s="174" t="s">
        <v>82</v>
      </c>
      <c r="E289" s="138">
        <v>10000</v>
      </c>
      <c r="F289" s="138"/>
      <c r="G289" s="185"/>
    </row>
    <row r="290" spans="1:7">
      <c r="A290" s="175">
        <v>3237</v>
      </c>
      <c r="B290" s="176" t="s">
        <v>49</v>
      </c>
      <c r="C290" s="187" t="s">
        <v>233</v>
      </c>
      <c r="D290" s="177" t="s">
        <v>234</v>
      </c>
      <c r="E290" s="139">
        <v>64600</v>
      </c>
      <c r="F290" s="139"/>
      <c r="G290" s="298"/>
    </row>
    <row r="291" spans="1:7">
      <c r="A291" s="178">
        <v>-352</v>
      </c>
      <c r="B291" s="41" t="s">
        <v>444</v>
      </c>
      <c r="C291" s="179" t="s">
        <v>233</v>
      </c>
      <c r="D291" s="162"/>
      <c r="E291" s="162">
        <f>E292</f>
        <v>10000</v>
      </c>
      <c r="F291" s="162">
        <f t="shared" ref="F291:G291" si="79">F292</f>
        <v>0</v>
      </c>
      <c r="G291" s="162">
        <f t="shared" si="79"/>
        <v>0</v>
      </c>
    </row>
    <row r="292" spans="1:7">
      <c r="A292" s="172">
        <v>3522</v>
      </c>
      <c r="B292" s="88" t="s">
        <v>443</v>
      </c>
      <c r="C292" s="174" t="s">
        <v>233</v>
      </c>
      <c r="D292" s="174" t="s">
        <v>82</v>
      </c>
      <c r="E292" s="138">
        <v>10000</v>
      </c>
      <c r="F292" s="138"/>
      <c r="G292" s="185"/>
    </row>
    <row r="293" spans="1:7">
      <c r="A293" s="415">
        <v>353</v>
      </c>
      <c r="B293" s="41" t="s">
        <v>443</v>
      </c>
      <c r="C293" s="420" t="s">
        <v>233</v>
      </c>
      <c r="D293" s="426"/>
      <c r="E293" s="410">
        <f>E294</f>
        <v>151809</v>
      </c>
      <c r="F293" s="410">
        <f t="shared" ref="F293:G293" si="80">F294</f>
        <v>0</v>
      </c>
      <c r="G293" s="410">
        <f t="shared" si="80"/>
        <v>0</v>
      </c>
    </row>
    <row r="294" spans="1:7">
      <c r="A294" s="175">
        <v>3531</v>
      </c>
      <c r="B294" s="509" t="s">
        <v>457</v>
      </c>
      <c r="C294" s="177" t="s">
        <v>233</v>
      </c>
      <c r="D294" s="177" t="s">
        <v>234</v>
      </c>
      <c r="E294" s="139">
        <v>151809</v>
      </c>
      <c r="F294" s="139">
        <v>0</v>
      </c>
      <c r="G294" s="298">
        <v>0</v>
      </c>
    </row>
    <row r="295" spans="1:7">
      <c r="A295" s="170" t="s">
        <v>332</v>
      </c>
      <c r="B295" s="171" t="s">
        <v>318</v>
      </c>
      <c r="C295" s="180" t="s">
        <v>233</v>
      </c>
      <c r="D295" s="137"/>
      <c r="E295" s="137">
        <f>E296+E297</f>
        <v>3169471</v>
      </c>
      <c r="F295" s="137">
        <f t="shared" ref="F295:G295" si="81">F296</f>
        <v>0</v>
      </c>
      <c r="G295" s="137">
        <f t="shared" si="81"/>
        <v>0</v>
      </c>
    </row>
    <row r="296" spans="1:7">
      <c r="A296" s="172">
        <v>3862</v>
      </c>
      <c r="B296" s="494" t="s">
        <v>445</v>
      </c>
      <c r="C296" s="174" t="s">
        <v>233</v>
      </c>
      <c r="D296" s="174" t="s">
        <v>82</v>
      </c>
      <c r="E296" s="138">
        <v>10000</v>
      </c>
      <c r="F296" s="138"/>
      <c r="G296" s="185"/>
    </row>
    <row r="297" spans="1:7">
      <c r="A297" s="175">
        <v>3864</v>
      </c>
      <c r="B297" s="509" t="s">
        <v>458</v>
      </c>
      <c r="C297" s="177"/>
      <c r="D297" s="177" t="s">
        <v>234</v>
      </c>
      <c r="E297" s="139">
        <v>3159471</v>
      </c>
      <c r="F297" s="139"/>
      <c r="G297" s="298"/>
    </row>
    <row r="298" spans="1:7">
      <c r="A298" s="191">
        <v>-426</v>
      </c>
      <c r="B298" s="184" t="s">
        <v>181</v>
      </c>
      <c r="C298" s="186" t="s">
        <v>233</v>
      </c>
      <c r="D298" s="141"/>
      <c r="E298" s="141">
        <f t="shared" ref="E298:G298" si="82">E299+E300</f>
        <v>240275</v>
      </c>
      <c r="F298" s="141">
        <f t="shared" si="82"/>
        <v>0</v>
      </c>
      <c r="G298" s="300">
        <f t="shared" si="82"/>
        <v>0</v>
      </c>
    </row>
    <row r="299" spans="1:7">
      <c r="A299" s="172">
        <v>4262</v>
      </c>
      <c r="B299" s="173" t="s">
        <v>288</v>
      </c>
      <c r="C299" s="174" t="s">
        <v>233</v>
      </c>
      <c r="D299" s="174" t="s">
        <v>82</v>
      </c>
      <c r="E299" s="138">
        <v>35000</v>
      </c>
      <c r="F299" s="138"/>
      <c r="G299" s="185"/>
    </row>
    <row r="300" spans="1:7">
      <c r="A300" s="175">
        <v>4262</v>
      </c>
      <c r="B300" s="176" t="s">
        <v>288</v>
      </c>
      <c r="C300" s="177" t="s">
        <v>233</v>
      </c>
      <c r="D300" s="177" t="s">
        <v>234</v>
      </c>
      <c r="E300" s="139">
        <v>205275</v>
      </c>
      <c r="F300" s="139"/>
      <c r="G300" s="298"/>
    </row>
    <row r="301" spans="1:7" ht="25.5" customHeight="1">
      <c r="A301" s="1050" t="s">
        <v>377</v>
      </c>
      <c r="B301" s="1051"/>
      <c r="C301" s="1052"/>
      <c r="D301" s="75"/>
      <c r="E301" s="75">
        <f>E302+E308+E324+E336+E341+E345+E348</f>
        <v>194217500</v>
      </c>
      <c r="F301" s="75">
        <f t="shared" ref="F301:G301" si="83">F302+F308+F324+F336+F341+F345+F348</f>
        <v>103260516</v>
      </c>
      <c r="G301" s="75">
        <f t="shared" si="83"/>
        <v>97019559</v>
      </c>
    </row>
    <row r="302" spans="1:7">
      <c r="A302" s="358" t="s">
        <v>403</v>
      </c>
      <c r="B302" s="167" t="s">
        <v>416</v>
      </c>
      <c r="C302" s="168" t="s">
        <v>232</v>
      </c>
      <c r="D302" s="193"/>
      <c r="E302" s="193">
        <f>E303+E306</f>
        <v>700000</v>
      </c>
      <c r="F302" s="193">
        <f t="shared" ref="F302:G302" si="84">F303+F306</f>
        <v>700000</v>
      </c>
      <c r="G302" s="193">
        <f t="shared" si="84"/>
        <v>700000</v>
      </c>
    </row>
    <row r="303" spans="1:7">
      <c r="A303" s="170" t="s">
        <v>34</v>
      </c>
      <c r="B303" s="171" t="s">
        <v>35</v>
      </c>
      <c r="C303" s="180" t="s">
        <v>232</v>
      </c>
      <c r="D303" s="356">
        <v>11</v>
      </c>
      <c r="E303" s="161">
        <f>E304+E305</f>
        <v>650000</v>
      </c>
      <c r="F303" s="161">
        <f t="shared" ref="F303:G303" si="85">F304+F305</f>
        <v>650000</v>
      </c>
      <c r="G303" s="161">
        <f t="shared" si="85"/>
        <v>650000</v>
      </c>
    </row>
    <row r="304" spans="1:7">
      <c r="A304" s="172">
        <v>3235</v>
      </c>
      <c r="B304" s="173" t="s">
        <v>45</v>
      </c>
      <c r="C304" s="180" t="s">
        <v>232</v>
      </c>
      <c r="D304" s="355">
        <v>11</v>
      </c>
      <c r="E304" s="421">
        <v>50000</v>
      </c>
      <c r="F304" s="421">
        <v>50000</v>
      </c>
      <c r="G304" s="421">
        <v>50000</v>
      </c>
    </row>
    <row r="305" spans="1:7">
      <c r="A305" s="172">
        <v>3238</v>
      </c>
      <c r="B305" s="173" t="s">
        <v>51</v>
      </c>
      <c r="C305" s="180" t="s">
        <v>232</v>
      </c>
      <c r="D305" s="355">
        <v>11</v>
      </c>
      <c r="E305" s="421">
        <v>600000</v>
      </c>
      <c r="F305" s="59">
        <v>600000</v>
      </c>
      <c r="G305" s="289">
        <v>600000</v>
      </c>
    </row>
    <row r="306" spans="1:7">
      <c r="A306" s="170" t="s">
        <v>140</v>
      </c>
      <c r="B306" s="171" t="s">
        <v>181</v>
      </c>
      <c r="C306" s="409" t="s">
        <v>232</v>
      </c>
      <c r="D306" s="504">
        <v>11</v>
      </c>
      <c r="E306" s="417">
        <f>E307</f>
        <v>50000</v>
      </c>
      <c r="F306" s="417">
        <f t="shared" ref="F306:G306" si="86">F307</f>
        <v>50000</v>
      </c>
      <c r="G306" s="417">
        <f t="shared" si="86"/>
        <v>50000</v>
      </c>
    </row>
    <row r="307" spans="1:7">
      <c r="A307" s="412">
        <v>4262</v>
      </c>
      <c r="B307" s="505" t="s">
        <v>182</v>
      </c>
      <c r="C307" s="409" t="s">
        <v>232</v>
      </c>
      <c r="D307" s="504">
        <v>11</v>
      </c>
      <c r="E307" s="422">
        <v>50000</v>
      </c>
      <c r="F307" s="422">
        <v>50000</v>
      </c>
      <c r="G307" s="422">
        <v>50000</v>
      </c>
    </row>
    <row r="308" spans="1:7">
      <c r="A308" s="359" t="s">
        <v>404</v>
      </c>
      <c r="B308" s="182" t="s">
        <v>317</v>
      </c>
      <c r="C308" s="168" t="s">
        <v>232</v>
      </c>
      <c r="D308" s="240"/>
      <c r="E308" s="241">
        <f>E309+E314+E316+E319+E321</f>
        <v>7455000</v>
      </c>
      <c r="F308" s="241">
        <f t="shared" ref="F308:G308" si="87">F309+F314+F316+F319+F321</f>
        <v>12070000</v>
      </c>
      <c r="G308" s="241">
        <f t="shared" si="87"/>
        <v>12070000</v>
      </c>
    </row>
    <row r="309" spans="1:7">
      <c r="A309" s="183" t="s">
        <v>34</v>
      </c>
      <c r="B309" s="184" t="s">
        <v>35</v>
      </c>
      <c r="C309" s="180" t="s">
        <v>232</v>
      </c>
      <c r="D309" s="354">
        <v>11</v>
      </c>
      <c r="E309" s="161">
        <f>E310+E313</f>
        <v>1355000</v>
      </c>
      <c r="F309" s="161">
        <f t="shared" ref="F309:G309" si="88">F310+F313</f>
        <v>3500000</v>
      </c>
      <c r="G309" s="161">
        <f t="shared" si="88"/>
        <v>3500000</v>
      </c>
    </row>
    <row r="310" spans="1:7">
      <c r="A310" s="181">
        <v>3233</v>
      </c>
      <c r="B310" s="88" t="s">
        <v>41</v>
      </c>
      <c r="C310" s="180" t="s">
        <v>232</v>
      </c>
      <c r="D310" s="353">
        <v>11</v>
      </c>
      <c r="E310" s="421">
        <v>1330000</v>
      </c>
      <c r="F310" s="59">
        <v>3500000</v>
      </c>
      <c r="G310" s="289">
        <v>3500000</v>
      </c>
    </row>
    <row r="311" spans="1:7" ht="14.25" customHeight="1">
      <c r="A311" s="181">
        <v>3233</v>
      </c>
      <c r="B311" s="88" t="s">
        <v>41</v>
      </c>
      <c r="C311" s="409"/>
      <c r="D311" s="502">
        <v>12</v>
      </c>
      <c r="E311" s="422">
        <v>0</v>
      </c>
      <c r="F311" s="422">
        <v>0</v>
      </c>
      <c r="G311" s="422">
        <v>0</v>
      </c>
    </row>
    <row r="312" spans="1:7">
      <c r="A312" s="181">
        <v>3233</v>
      </c>
      <c r="B312" s="88" t="s">
        <v>41</v>
      </c>
      <c r="C312" s="409"/>
      <c r="D312" s="502">
        <v>563</v>
      </c>
      <c r="E312" s="422">
        <v>0</v>
      </c>
      <c r="F312" s="422">
        <v>0</v>
      </c>
      <c r="G312" s="422">
        <v>0</v>
      </c>
    </row>
    <row r="313" spans="1:7">
      <c r="A313" s="411">
        <v>3239</v>
      </c>
      <c r="B313" s="503" t="s">
        <v>53</v>
      </c>
      <c r="C313" s="409" t="s">
        <v>232</v>
      </c>
      <c r="D313" s="502">
        <v>11</v>
      </c>
      <c r="E313" s="422">
        <v>25000</v>
      </c>
      <c r="F313" s="413">
        <v>0</v>
      </c>
      <c r="G313" s="414">
        <v>0</v>
      </c>
    </row>
    <row r="314" spans="1:7">
      <c r="A314" s="178">
        <v>-329</v>
      </c>
      <c r="B314" s="41" t="s">
        <v>58</v>
      </c>
      <c r="C314" s="180" t="s">
        <v>232</v>
      </c>
      <c r="D314" s="354">
        <f t="shared" ref="D314:G314" si="89">D315</f>
        <v>11</v>
      </c>
      <c r="E314" s="161">
        <f t="shared" si="89"/>
        <v>700000</v>
      </c>
      <c r="F314" s="161">
        <f t="shared" si="89"/>
        <v>700000</v>
      </c>
      <c r="G314" s="161">
        <f t="shared" si="89"/>
        <v>700000</v>
      </c>
    </row>
    <row r="315" spans="1:7">
      <c r="A315" s="172">
        <v>3291</v>
      </c>
      <c r="B315" s="173" t="s">
        <v>442</v>
      </c>
      <c r="C315" s="180" t="s">
        <v>232</v>
      </c>
      <c r="D315" s="353">
        <v>11</v>
      </c>
      <c r="E315" s="421">
        <v>700000</v>
      </c>
      <c r="F315" s="59">
        <v>700000</v>
      </c>
      <c r="G315" s="289">
        <v>700000</v>
      </c>
    </row>
    <row r="316" spans="1:7">
      <c r="A316" s="178">
        <v>-352</v>
      </c>
      <c r="B316" s="41" t="s">
        <v>444</v>
      </c>
      <c r="C316" s="180" t="s">
        <v>232</v>
      </c>
      <c r="D316" s="354">
        <v>11</v>
      </c>
      <c r="E316" s="161">
        <f>E317+E318</f>
        <v>3000000</v>
      </c>
      <c r="F316" s="161">
        <f t="shared" ref="F316:G316" si="90">F317+F318</f>
        <v>3700000</v>
      </c>
      <c r="G316" s="161">
        <f t="shared" si="90"/>
        <v>3700000</v>
      </c>
    </row>
    <row r="317" spans="1:7">
      <c r="A317" s="172">
        <v>3522</v>
      </c>
      <c r="B317" s="88" t="s">
        <v>443</v>
      </c>
      <c r="C317" s="180" t="s">
        <v>232</v>
      </c>
      <c r="D317" s="353">
        <v>11</v>
      </c>
      <c r="E317" s="421">
        <v>1000000</v>
      </c>
      <c r="F317" s="59">
        <v>1200000</v>
      </c>
      <c r="G317" s="289">
        <v>1200000</v>
      </c>
    </row>
    <row r="318" spans="1:7">
      <c r="A318" s="172">
        <v>3523</v>
      </c>
      <c r="B318" s="493" t="s">
        <v>341</v>
      </c>
      <c r="C318" s="180" t="s">
        <v>232</v>
      </c>
      <c r="D318" s="353">
        <v>11</v>
      </c>
      <c r="E318" s="421">
        <v>2000000</v>
      </c>
      <c r="F318" s="59">
        <v>2500000</v>
      </c>
      <c r="G318" s="289">
        <v>2500000</v>
      </c>
    </row>
    <row r="319" spans="1:7" ht="14.25" customHeight="1">
      <c r="A319" s="178">
        <v>-381</v>
      </c>
      <c r="B319" s="171" t="s">
        <v>79</v>
      </c>
      <c r="C319" s="180" t="s">
        <v>232</v>
      </c>
      <c r="D319" s="354">
        <f t="shared" ref="D319:G319" si="91">D320</f>
        <v>11</v>
      </c>
      <c r="E319" s="161">
        <f t="shared" si="91"/>
        <v>1000000</v>
      </c>
      <c r="F319" s="161">
        <f t="shared" si="91"/>
        <v>1570000</v>
      </c>
      <c r="G319" s="161">
        <f t="shared" si="91"/>
        <v>1570000</v>
      </c>
    </row>
    <row r="320" spans="1:7">
      <c r="A320" s="172">
        <v>3811</v>
      </c>
      <c r="B320" s="173" t="s">
        <v>81</v>
      </c>
      <c r="C320" s="180" t="s">
        <v>232</v>
      </c>
      <c r="D320" s="353">
        <v>11</v>
      </c>
      <c r="E320" s="421">
        <v>1000000</v>
      </c>
      <c r="F320" s="59">
        <v>1570000</v>
      </c>
      <c r="G320" s="289">
        <v>1570000</v>
      </c>
    </row>
    <row r="321" spans="1:7">
      <c r="A321" s="178">
        <v>-386</v>
      </c>
      <c r="B321" s="171" t="s">
        <v>318</v>
      </c>
      <c r="C321" s="180" t="s">
        <v>232</v>
      </c>
      <c r="D321" s="354">
        <v>11</v>
      </c>
      <c r="E321" s="161">
        <f>E322+E323</f>
        <v>1400000</v>
      </c>
      <c r="F321" s="161">
        <f t="shared" ref="F321:G321" si="92">F322+F323</f>
        <v>2600000</v>
      </c>
      <c r="G321" s="161">
        <f t="shared" si="92"/>
        <v>2600000</v>
      </c>
    </row>
    <row r="322" spans="1:7" ht="14.25" customHeight="1">
      <c r="A322" s="172">
        <v>3862</v>
      </c>
      <c r="B322" s="494" t="s">
        <v>445</v>
      </c>
      <c r="C322" s="180" t="s">
        <v>232</v>
      </c>
      <c r="D322" s="353">
        <v>11</v>
      </c>
      <c r="E322" s="421">
        <v>875000</v>
      </c>
      <c r="F322" s="59">
        <v>1900000</v>
      </c>
      <c r="G322" s="289">
        <v>1900000</v>
      </c>
    </row>
    <row r="323" spans="1:7">
      <c r="A323" s="172">
        <v>3863</v>
      </c>
      <c r="B323" s="173" t="s">
        <v>319</v>
      </c>
      <c r="C323" s="180" t="s">
        <v>232</v>
      </c>
      <c r="D323" s="353">
        <v>11</v>
      </c>
      <c r="E323" s="421">
        <v>525000</v>
      </c>
      <c r="F323" s="59">
        <v>700000</v>
      </c>
      <c r="G323" s="289">
        <v>700000</v>
      </c>
    </row>
    <row r="324" spans="1:7">
      <c r="A324" s="359" t="s">
        <v>451</v>
      </c>
      <c r="B324" s="182" t="s">
        <v>452</v>
      </c>
      <c r="C324" s="168" t="s">
        <v>233</v>
      </c>
      <c r="D324" s="240"/>
      <c r="E324" s="241">
        <f>E327+E332+E334+E325</f>
        <v>630000</v>
      </c>
      <c r="F324" s="241">
        <f>F327+F332+F334+F325</f>
        <v>410000</v>
      </c>
      <c r="G324" s="241">
        <f>G327+G332+G334+G325</f>
        <v>440000</v>
      </c>
    </row>
    <row r="325" spans="1:7">
      <c r="A325" s="446" t="s">
        <v>16</v>
      </c>
      <c r="B325" s="445" t="s">
        <v>17</v>
      </c>
      <c r="C325" s="409" t="s">
        <v>233</v>
      </c>
      <c r="D325" s="415">
        <v>11</v>
      </c>
      <c r="E325" s="417">
        <f>SUM(E326)</f>
        <v>0</v>
      </c>
      <c r="F325" s="417">
        <f t="shared" ref="F325:G325" si="93">SUM(F326)</f>
        <v>0</v>
      </c>
      <c r="G325" s="417">
        <f t="shared" si="93"/>
        <v>0</v>
      </c>
    </row>
    <row r="326" spans="1:7">
      <c r="A326" s="447">
        <v>3211</v>
      </c>
      <c r="B326" s="434" t="s">
        <v>19</v>
      </c>
      <c r="C326" s="416" t="s">
        <v>233</v>
      </c>
      <c r="D326" s="412">
        <v>11</v>
      </c>
      <c r="E326" s="422">
        <v>0</v>
      </c>
      <c r="F326" s="413"/>
      <c r="G326" s="414"/>
    </row>
    <row r="327" spans="1:7">
      <c r="A327" s="183" t="s">
        <v>34</v>
      </c>
      <c r="B327" s="184" t="s">
        <v>35</v>
      </c>
      <c r="C327" s="180" t="s">
        <v>233</v>
      </c>
      <c r="D327" s="354">
        <v>11</v>
      </c>
      <c r="E327" s="161">
        <f>E328+E329+E330+E331</f>
        <v>320000</v>
      </c>
      <c r="F327" s="161">
        <f t="shared" ref="F327:G327" si="94">F328+F329+F330+F331</f>
        <v>215000</v>
      </c>
      <c r="G327" s="161">
        <f t="shared" si="94"/>
        <v>240000</v>
      </c>
    </row>
    <row r="328" spans="1:7">
      <c r="A328" s="181">
        <v>3233</v>
      </c>
      <c r="B328" s="88" t="s">
        <v>41</v>
      </c>
      <c r="C328" s="190" t="s">
        <v>233</v>
      </c>
      <c r="D328" s="353">
        <v>11</v>
      </c>
      <c r="E328" s="421">
        <v>50000</v>
      </c>
      <c r="F328" s="59">
        <v>120000</v>
      </c>
      <c r="G328" s="289">
        <v>140000</v>
      </c>
    </row>
    <row r="329" spans="1:7">
      <c r="A329" s="57" t="s">
        <v>44</v>
      </c>
      <c r="B329" s="88" t="s">
        <v>45</v>
      </c>
      <c r="C329" s="190" t="s">
        <v>233</v>
      </c>
      <c r="D329" s="154" t="s">
        <v>0</v>
      </c>
      <c r="E329" s="59">
        <v>180000</v>
      </c>
      <c r="F329" s="59">
        <v>65000</v>
      </c>
      <c r="G329" s="289">
        <v>70000</v>
      </c>
    </row>
    <row r="330" spans="1:7">
      <c r="A330" s="57" t="s">
        <v>48</v>
      </c>
      <c r="B330" s="88" t="s">
        <v>49</v>
      </c>
      <c r="C330" s="190" t="s">
        <v>233</v>
      </c>
      <c r="D330" s="154" t="s">
        <v>0</v>
      </c>
      <c r="E330" s="59">
        <v>70000</v>
      </c>
      <c r="F330" s="59">
        <v>0</v>
      </c>
      <c r="G330" s="289">
        <v>0</v>
      </c>
    </row>
    <row r="331" spans="1:7">
      <c r="A331" s="57" t="s">
        <v>52</v>
      </c>
      <c r="B331" s="88" t="s">
        <v>53</v>
      </c>
      <c r="C331" s="190" t="s">
        <v>233</v>
      </c>
      <c r="D331" s="154" t="s">
        <v>0</v>
      </c>
      <c r="E331" s="59">
        <v>20000</v>
      </c>
      <c r="F331" s="59">
        <v>30000</v>
      </c>
      <c r="G331" s="289">
        <v>30000</v>
      </c>
    </row>
    <row r="332" spans="1:7">
      <c r="A332" s="40" t="s">
        <v>54</v>
      </c>
      <c r="B332" s="41" t="s">
        <v>55</v>
      </c>
      <c r="C332" s="42" t="s">
        <v>233</v>
      </c>
      <c r="D332" s="42" t="s">
        <v>0</v>
      </c>
      <c r="E332" s="43">
        <f>E333</f>
        <v>60000</v>
      </c>
      <c r="F332" s="43">
        <f t="shared" ref="F332:G332" si="95">F333</f>
        <v>120000</v>
      </c>
      <c r="G332" s="43">
        <f t="shared" si="95"/>
        <v>120000</v>
      </c>
    </row>
    <row r="333" spans="1:7">
      <c r="A333" s="57" t="s">
        <v>56</v>
      </c>
      <c r="B333" s="88" t="s">
        <v>55</v>
      </c>
      <c r="C333" s="154" t="s">
        <v>233</v>
      </c>
      <c r="D333" s="154" t="s">
        <v>0</v>
      </c>
      <c r="E333" s="59">
        <v>60000</v>
      </c>
      <c r="F333" s="59">
        <v>120000</v>
      </c>
      <c r="G333" s="289">
        <v>120000</v>
      </c>
    </row>
    <row r="334" spans="1:7">
      <c r="A334" s="40" t="s">
        <v>57</v>
      </c>
      <c r="B334" s="41" t="s">
        <v>58</v>
      </c>
      <c r="C334" s="42" t="s">
        <v>233</v>
      </c>
      <c r="D334" s="42" t="s">
        <v>0</v>
      </c>
      <c r="E334" s="43">
        <f>SUM(E335)</f>
        <v>250000</v>
      </c>
      <c r="F334" s="43">
        <f t="shared" ref="F334:G334" si="96">SUM(F335)</f>
        <v>75000</v>
      </c>
      <c r="G334" s="43">
        <f t="shared" si="96"/>
        <v>80000</v>
      </c>
    </row>
    <row r="335" spans="1:7">
      <c r="A335" s="57" t="s">
        <v>63</v>
      </c>
      <c r="B335" s="88" t="s">
        <v>64</v>
      </c>
      <c r="C335" s="154" t="s">
        <v>233</v>
      </c>
      <c r="D335" s="154" t="s">
        <v>0</v>
      </c>
      <c r="E335" s="59">
        <v>250000</v>
      </c>
      <c r="F335" s="59">
        <v>75000</v>
      </c>
      <c r="G335" s="289">
        <v>80000</v>
      </c>
    </row>
    <row r="336" spans="1:7">
      <c r="A336" s="358" t="s">
        <v>405</v>
      </c>
      <c r="B336" s="167" t="s">
        <v>320</v>
      </c>
      <c r="C336" s="168" t="s">
        <v>233</v>
      </c>
      <c r="D336" s="241"/>
      <c r="E336" s="241">
        <f t="shared" ref="E336" si="97">E337+E339</f>
        <v>500000</v>
      </c>
      <c r="F336" s="241">
        <f t="shared" ref="F336:G336" si="98">F337+F339</f>
        <v>500000</v>
      </c>
      <c r="G336" s="296">
        <f t="shared" si="98"/>
        <v>500000</v>
      </c>
    </row>
    <row r="337" spans="1:7">
      <c r="A337" s="170" t="s">
        <v>34</v>
      </c>
      <c r="B337" s="171" t="s">
        <v>35</v>
      </c>
      <c r="C337" s="180" t="s">
        <v>233</v>
      </c>
      <c r="D337" s="356">
        <v>11</v>
      </c>
      <c r="E337" s="161">
        <f t="shared" ref="E337" si="99">E338</f>
        <v>150000</v>
      </c>
      <c r="F337" s="161">
        <f t="shared" ref="F337:G337" si="100">F338</f>
        <v>150000</v>
      </c>
      <c r="G337" s="293">
        <f t="shared" si="100"/>
        <v>150000</v>
      </c>
    </row>
    <row r="338" spans="1:7">
      <c r="A338" s="172">
        <v>3238</v>
      </c>
      <c r="B338" s="173" t="s">
        <v>51</v>
      </c>
      <c r="C338" s="174" t="s">
        <v>233</v>
      </c>
      <c r="D338" s="355">
        <v>11</v>
      </c>
      <c r="E338" s="421">
        <v>150000</v>
      </c>
      <c r="F338" s="421">
        <v>150000</v>
      </c>
      <c r="G338" s="423">
        <v>150000</v>
      </c>
    </row>
    <row r="339" spans="1:7">
      <c r="A339" s="170" t="s">
        <v>140</v>
      </c>
      <c r="B339" s="171" t="s">
        <v>181</v>
      </c>
      <c r="C339" s="179" t="s">
        <v>233</v>
      </c>
      <c r="D339" s="356">
        <f t="shared" ref="D339:E339" si="101">D340</f>
        <v>11</v>
      </c>
      <c r="E339" s="161">
        <f t="shared" si="101"/>
        <v>350000</v>
      </c>
      <c r="F339" s="161">
        <f t="shared" ref="F339:G339" si="102">F340</f>
        <v>350000</v>
      </c>
      <c r="G339" s="293">
        <f t="shared" si="102"/>
        <v>350000</v>
      </c>
    </row>
    <row r="340" spans="1:7">
      <c r="A340" s="172">
        <v>4262</v>
      </c>
      <c r="B340" s="173" t="s">
        <v>182</v>
      </c>
      <c r="C340" s="174" t="s">
        <v>233</v>
      </c>
      <c r="D340" s="355">
        <v>11</v>
      </c>
      <c r="E340" s="421">
        <v>350000</v>
      </c>
      <c r="F340" s="421">
        <v>350000</v>
      </c>
      <c r="G340" s="423">
        <v>350000</v>
      </c>
    </row>
    <row r="341" spans="1:7">
      <c r="A341" s="358" t="s">
        <v>406</v>
      </c>
      <c r="B341" s="167" t="s">
        <v>321</v>
      </c>
      <c r="C341" s="168" t="s">
        <v>232</v>
      </c>
      <c r="D341" s="169"/>
      <c r="E341" s="169">
        <f t="shared" ref="E341:G341" si="103">E342</f>
        <v>27000000</v>
      </c>
      <c r="F341" s="169">
        <f t="shared" si="103"/>
        <v>23800000</v>
      </c>
      <c r="G341" s="297">
        <f t="shared" si="103"/>
        <v>19200000</v>
      </c>
    </row>
    <row r="342" spans="1:7">
      <c r="A342" s="170" t="s">
        <v>196</v>
      </c>
      <c r="B342" s="41" t="s">
        <v>444</v>
      </c>
      <c r="C342" s="188" t="s">
        <v>232</v>
      </c>
      <c r="D342" s="357">
        <v>11</v>
      </c>
      <c r="E342" s="137">
        <f>E343+E344</f>
        <v>27000000</v>
      </c>
      <c r="F342" s="137">
        <f t="shared" ref="F342:G342" si="104">F343+F344</f>
        <v>23800000</v>
      </c>
      <c r="G342" s="137">
        <f t="shared" si="104"/>
        <v>19200000</v>
      </c>
    </row>
    <row r="343" spans="1:7">
      <c r="A343" s="172" t="s">
        <v>197</v>
      </c>
      <c r="B343" s="88" t="s">
        <v>443</v>
      </c>
      <c r="C343" s="188" t="s">
        <v>232</v>
      </c>
      <c r="D343" s="190" t="s">
        <v>0</v>
      </c>
      <c r="E343" s="140">
        <v>17400000</v>
      </c>
      <c r="F343" s="140">
        <v>16000000</v>
      </c>
      <c r="G343" s="267">
        <v>12900000</v>
      </c>
    </row>
    <row r="344" spans="1:7">
      <c r="A344" s="172">
        <v>3523</v>
      </c>
      <c r="B344" s="493" t="s">
        <v>341</v>
      </c>
      <c r="C344" s="188" t="s">
        <v>232</v>
      </c>
      <c r="D344" s="174" t="s">
        <v>0</v>
      </c>
      <c r="E344" s="138">
        <v>9600000</v>
      </c>
      <c r="F344" s="138">
        <v>7800000</v>
      </c>
      <c r="G344" s="185">
        <v>6300000</v>
      </c>
    </row>
    <row r="345" spans="1:7">
      <c r="A345" s="358" t="s">
        <v>407</v>
      </c>
      <c r="B345" s="167" t="s">
        <v>322</v>
      </c>
      <c r="C345" s="168" t="s">
        <v>227</v>
      </c>
      <c r="D345" s="169"/>
      <c r="E345" s="169">
        <f t="shared" ref="E345:G346" si="105">E346</f>
        <v>157000000</v>
      </c>
      <c r="F345" s="169">
        <f t="shared" si="105"/>
        <v>65000000</v>
      </c>
      <c r="G345" s="169">
        <f t="shared" si="105"/>
        <v>63000000</v>
      </c>
    </row>
    <row r="346" spans="1:7">
      <c r="A346" s="170" t="s">
        <v>323</v>
      </c>
      <c r="B346" s="171" t="s">
        <v>446</v>
      </c>
      <c r="C346" s="180" t="s">
        <v>227</v>
      </c>
      <c r="D346" s="357">
        <v>11</v>
      </c>
      <c r="E346" s="137">
        <f t="shared" si="105"/>
        <v>157000000</v>
      </c>
      <c r="F346" s="137">
        <f t="shared" si="105"/>
        <v>65000000</v>
      </c>
      <c r="G346" s="137">
        <f t="shared" si="105"/>
        <v>63000000</v>
      </c>
    </row>
    <row r="347" spans="1:7">
      <c r="A347" s="194">
        <v>5314</v>
      </c>
      <c r="B347" s="189" t="s">
        <v>447</v>
      </c>
      <c r="C347" s="174" t="s">
        <v>227</v>
      </c>
      <c r="D347" s="174" t="s">
        <v>0</v>
      </c>
      <c r="E347" s="138">
        <v>157000000</v>
      </c>
      <c r="F347" s="138">
        <v>65000000</v>
      </c>
      <c r="G347" s="185">
        <v>63000000</v>
      </c>
    </row>
    <row r="348" spans="1:7">
      <c r="A348" s="358" t="s">
        <v>409</v>
      </c>
      <c r="B348" s="167" t="s">
        <v>327</v>
      </c>
      <c r="C348" s="168" t="s">
        <v>233</v>
      </c>
      <c r="D348" s="169"/>
      <c r="E348" s="169">
        <f>E349+E351</f>
        <v>932500</v>
      </c>
      <c r="F348" s="169">
        <f t="shared" ref="F348:G348" si="106">F349+F351</f>
        <v>780516</v>
      </c>
      <c r="G348" s="169">
        <f t="shared" si="106"/>
        <v>1109559</v>
      </c>
    </row>
    <row r="349" spans="1:7">
      <c r="A349" s="40" t="s">
        <v>24</v>
      </c>
      <c r="B349" s="41" t="s">
        <v>25</v>
      </c>
      <c r="C349" s="454" t="s">
        <v>233</v>
      </c>
      <c r="D349" s="455"/>
      <c r="E349" s="455">
        <f>E350</f>
        <v>532500</v>
      </c>
      <c r="F349" s="455">
        <f t="shared" ref="F349:G349" si="107">F350</f>
        <v>780516</v>
      </c>
      <c r="G349" s="455">
        <f t="shared" si="107"/>
        <v>1109559</v>
      </c>
    </row>
    <row r="350" spans="1:7">
      <c r="A350" s="495" t="s">
        <v>28</v>
      </c>
      <c r="B350" s="496" t="s">
        <v>29</v>
      </c>
      <c r="C350" s="497" t="s">
        <v>233</v>
      </c>
      <c r="D350" s="498"/>
      <c r="E350" s="498">
        <v>532500</v>
      </c>
      <c r="F350" s="498">
        <v>780516</v>
      </c>
      <c r="G350" s="498">
        <v>1109559</v>
      </c>
    </row>
    <row r="351" spans="1:7">
      <c r="A351" s="476" t="s">
        <v>328</v>
      </c>
      <c r="B351" s="408" t="s">
        <v>329</v>
      </c>
      <c r="C351" s="454" t="s">
        <v>233</v>
      </c>
      <c r="D351" s="477">
        <v>11</v>
      </c>
      <c r="E351" s="455">
        <f t="shared" ref="E351:G351" si="108">E352</f>
        <v>400000</v>
      </c>
      <c r="F351" s="455">
        <f t="shared" si="108"/>
        <v>0</v>
      </c>
      <c r="G351" s="478">
        <f t="shared" si="108"/>
        <v>0</v>
      </c>
    </row>
    <row r="352" spans="1:7">
      <c r="A352" s="479">
        <v>5121</v>
      </c>
      <c r="B352" s="480" t="s">
        <v>330</v>
      </c>
      <c r="C352" s="481" t="s">
        <v>233</v>
      </c>
      <c r="D352" s="482" t="s">
        <v>0</v>
      </c>
      <c r="E352" s="483">
        <v>400000</v>
      </c>
      <c r="F352" s="483">
        <v>0</v>
      </c>
      <c r="G352" s="483">
        <v>0</v>
      </c>
    </row>
    <row r="353" spans="1:7">
      <c r="A353" s="247"/>
      <c r="B353" s="248"/>
      <c r="C353" s="243"/>
      <c r="D353" s="242"/>
      <c r="E353" s="242"/>
      <c r="F353" s="242"/>
      <c r="G353" s="242"/>
    </row>
    <row r="354" spans="1:7">
      <c r="A354" s="247"/>
      <c r="B354" s="248" t="s">
        <v>376</v>
      </c>
      <c r="C354" s="243"/>
      <c r="D354" s="242"/>
      <c r="E354" s="242">
        <f>E3+E4+E6+E8+E9+E10+E11+E12+E13+E14</f>
        <v>1416121771</v>
      </c>
      <c r="F354" s="242">
        <f>F3+F4+F6+F8+F9+F10+F11+F12+F13+F14</f>
        <v>1148260110</v>
      </c>
      <c r="G354" s="242">
        <f t="shared" ref="G354" si="109">G3+G4+G6+G8+G9+G10+G11+G12+G13+G14</f>
        <v>1547295674</v>
      </c>
    </row>
    <row r="355" spans="1:7">
      <c r="B355" s="248" t="s">
        <v>439</v>
      </c>
      <c r="C355" s="243"/>
      <c r="D355" s="243"/>
      <c r="E355" s="242">
        <f>E15+E103+E126+E167+E301</f>
        <v>1834121771</v>
      </c>
      <c r="F355" s="242">
        <f>F15+F103+F126+F167+F301</f>
        <v>1566260110</v>
      </c>
      <c r="G355" s="242">
        <f>G15+G103+G126+G167+G301</f>
        <v>1547295674</v>
      </c>
    </row>
    <row r="356" spans="1:7">
      <c r="E356" s="246"/>
      <c r="F356" s="246"/>
      <c r="G356" s="246"/>
    </row>
    <row r="357" spans="1:7">
      <c r="B357" s="248" t="s">
        <v>448</v>
      </c>
      <c r="E357" s="242">
        <v>597453423</v>
      </c>
      <c r="F357" s="242">
        <v>230207860</v>
      </c>
      <c r="G357" s="242">
        <v>230666903</v>
      </c>
    </row>
    <row r="358" spans="1:7">
      <c r="E358" s="490"/>
      <c r="F358" s="242"/>
    </row>
    <row r="359" spans="1:7">
      <c r="E359" s="506"/>
      <c r="F359" s="506"/>
      <c r="G359" s="506"/>
    </row>
    <row r="360" spans="1:7">
      <c r="E360" s="490"/>
    </row>
    <row r="361" spans="1:7">
      <c r="E361" s="490"/>
      <c r="F361" s="246"/>
      <c r="G361" s="246"/>
    </row>
    <row r="363" spans="1:7">
      <c r="E363" s="246"/>
    </row>
  </sheetData>
  <customSheetViews>
    <customSheetView guid="{DE360DA9-5353-4F03-95DA-9238CFBE39D8}" scale="110" showPageBreaks="1" printArea="1" hiddenRows="1" state="hidden">
      <pane ySplit="14" topLeftCell="A15" activePane="bottomLeft" state="frozen"/>
      <selection pane="bottomLeft" activeCell="A163" sqref="A163"/>
      <rowBreaks count="10" manualBreakCount="10">
        <brk id="36" max="6" man="1"/>
        <brk id="71" max="6" man="1"/>
        <brk id="107" max="6" man="1"/>
        <brk id="141" max="6" man="1"/>
        <brk id="175" max="6" man="1"/>
        <brk id="211" max="6" man="1"/>
        <brk id="250" max="8" man="1"/>
        <brk id="290" max="8" man="1"/>
        <brk id="323" max="8" man="1"/>
        <brk id="357" max="8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1"/>
      <headerFooter>
        <oddFooter>&amp;CMINISTARSTVO&amp;R&amp;P</oddFooter>
      </headerFooter>
    </customSheetView>
    <customSheetView guid="{4FFB33FE-6696-4144-BF99-378C5196B940}" scale="110" showPageBreaks="1" printArea="1" hiddenRows="1" state="hidden">
      <pane ySplit="13" topLeftCell="A15" activePane="bottomLeft" state="frozen"/>
      <selection pane="bottomLeft" activeCell="A163" sqref="A163"/>
      <rowBreaks count="10" manualBreakCount="10">
        <brk id="36" max="6" man="1"/>
        <brk id="71" max="6" man="1"/>
        <brk id="107" max="6" man="1"/>
        <brk id="141" max="6" man="1"/>
        <brk id="175" max="6" man="1"/>
        <brk id="211" max="6" man="1"/>
        <brk id="250" max="8" man="1"/>
        <brk id="290" max="8" man="1"/>
        <brk id="323" max="8" man="1"/>
        <brk id="357" max="8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2"/>
      <headerFooter>
        <oddFooter>&amp;CMINISTARSTVO&amp;R&amp;P</oddFooter>
      </headerFooter>
    </customSheetView>
    <customSheetView guid="{3D59341C-00F4-4635-AC4F-8988CF6BE637}" scale="110" hiddenRows="1" state="hidden">
      <pane ySplit="14" topLeftCell="A15" activePane="bottomLeft" state="frozen"/>
      <selection pane="bottomLeft" activeCell="A163" sqref="A163"/>
      <rowBreaks count="10" manualBreakCount="10">
        <brk id="36" max="6" man="1"/>
        <brk id="71" max="6" man="1"/>
        <brk id="107" max="6" man="1"/>
        <brk id="141" max="6" man="1"/>
        <brk id="175" max="6" man="1"/>
        <brk id="211" max="6" man="1"/>
        <brk id="250" max="8" man="1"/>
        <brk id="290" max="8" man="1"/>
        <brk id="323" max="8" man="1"/>
        <brk id="357" max="8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3"/>
      <headerFooter>
        <oddFooter>&amp;CMINISTARSTVO&amp;R&amp;P</oddFooter>
      </headerFooter>
    </customSheetView>
    <customSheetView guid="{5251AB89-31D9-4C6C-945A-13C9748C2E26}" scale="110" hiddenRows="1" state="hidden">
      <pane ySplit="14" topLeftCell="A15" activePane="bottomLeft" state="frozen"/>
      <selection pane="bottomLeft" activeCell="A163" sqref="A163"/>
      <rowBreaks count="10" manualBreakCount="10">
        <brk id="36" max="6" man="1"/>
        <brk id="71" max="6" man="1"/>
        <brk id="107" max="6" man="1"/>
        <brk id="141" max="6" man="1"/>
        <brk id="175" max="6" man="1"/>
        <brk id="211" max="6" man="1"/>
        <brk id="250" max="8" man="1"/>
        <brk id="290" max="8" man="1"/>
        <brk id="323" max="8" man="1"/>
        <brk id="357" max="8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4"/>
      <headerFooter>
        <oddFooter>&amp;CMINISTARSTVO&amp;R&amp;P</oddFooter>
      </headerFooter>
    </customSheetView>
    <customSheetView guid="{14A1FC8C-94B5-4B4E-9269-30661976D1D1}" scale="110" hiddenRows="1" state="hidden">
      <pane ySplit="14" topLeftCell="A15" activePane="bottomLeft" state="frozen"/>
      <selection pane="bottomLeft" activeCell="A163" sqref="A163"/>
      <rowBreaks count="10" manualBreakCount="10">
        <brk id="36" max="6" man="1"/>
        <brk id="71" max="6" man="1"/>
        <brk id="107" max="6" man="1"/>
        <brk id="141" max="6" man="1"/>
        <brk id="175" max="6" man="1"/>
        <brk id="211" max="6" man="1"/>
        <brk id="250" max="8" man="1"/>
        <brk id="290" max="8" man="1"/>
        <brk id="323" max="8" man="1"/>
        <brk id="357" max="8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5"/>
      <headerFooter>
        <oddFooter>&amp;CMINISTARSTVO&amp;R&amp;P</oddFooter>
      </headerFooter>
    </customSheetView>
    <customSheetView guid="{D0F51479-7B68-4FFC-8604-F0A17468B00E}" scale="110" hiddenRows="1" state="hidden">
      <pane ySplit="14" topLeftCell="A15" activePane="bottomLeft" state="frozen"/>
      <selection pane="bottomLeft" activeCell="A163" sqref="A163"/>
      <rowBreaks count="10" manualBreakCount="10">
        <brk id="36" max="6" man="1"/>
        <brk id="71" max="6" man="1"/>
        <brk id="107" max="6" man="1"/>
        <brk id="141" max="6" man="1"/>
        <brk id="175" max="6" man="1"/>
        <brk id="211" max="6" man="1"/>
        <brk id="250" max="8" man="1"/>
        <brk id="290" max="8" man="1"/>
        <brk id="323" max="8" man="1"/>
        <brk id="357" max="8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6"/>
      <headerFooter>
        <oddFooter>&amp;CMINISTARSTVO&amp;R&amp;P</oddFooter>
      </headerFooter>
    </customSheetView>
    <customSheetView guid="{0D7CE69A-AF67-471F-AE1C-92FEF35D1955}" scale="110" showPageBreaks="1" printArea="1" hiddenRows="1" state="hidden">
      <pane ySplit="14" topLeftCell="A15" activePane="bottomLeft" state="frozen"/>
      <selection pane="bottomLeft" activeCell="A163" sqref="A163"/>
      <rowBreaks count="10" manualBreakCount="10">
        <brk id="36" max="6" man="1"/>
        <brk id="71" max="6" man="1"/>
        <brk id="107" max="6" man="1"/>
        <brk id="141" max="6" man="1"/>
        <brk id="175" max="6" man="1"/>
        <brk id="211" max="6" man="1"/>
        <brk id="250" max="8" man="1"/>
        <brk id="290" max="8" man="1"/>
        <brk id="323" max="8" man="1"/>
        <brk id="357" max="8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7"/>
      <headerFooter>
        <oddFooter>&amp;CMINISTARSTVO&amp;R&amp;P</oddFooter>
      </headerFooter>
    </customSheetView>
    <customSheetView guid="{3EC3B099-A84F-48D2-A97E-B7686AB72BE7}" scale="110" showPageBreaks="1" printArea="1" hiddenRows="1" state="hidden">
      <pane ySplit="14" topLeftCell="A15" activePane="bottomLeft" state="frozen"/>
      <selection pane="bottomLeft" activeCell="A163" sqref="A163"/>
      <rowBreaks count="10" manualBreakCount="10">
        <brk id="36" max="6" man="1"/>
        <brk id="71" max="6" man="1"/>
        <brk id="107" max="6" man="1"/>
        <brk id="141" max="6" man="1"/>
        <brk id="175" max="6" man="1"/>
        <brk id="211" max="6" man="1"/>
        <brk id="250" max="8" man="1"/>
        <brk id="290" max="8" man="1"/>
        <brk id="323" max="8" man="1"/>
        <brk id="357" max="8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8"/>
      <headerFooter>
        <oddFooter>&amp;CMINISTARSTVO&amp;R&amp;P</oddFooter>
      </headerFooter>
    </customSheetView>
  </customSheetViews>
  <mergeCells count="7">
    <mergeCell ref="A301:C301"/>
    <mergeCell ref="A167:C167"/>
    <mergeCell ref="B2:C2"/>
    <mergeCell ref="A3:C14"/>
    <mergeCell ref="A15:C15"/>
    <mergeCell ref="A103:C103"/>
    <mergeCell ref="A126:C126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9"/>
  <headerFooter>
    <oddFooter>&amp;CMINISTARSTVO&amp;R&amp;P</oddFooter>
  </headerFooter>
  <rowBreaks count="10" manualBreakCount="10">
    <brk id="36" max="6" man="1"/>
    <brk id="71" max="6" man="1"/>
    <brk id="107" max="6" man="1"/>
    <brk id="141" max="6" man="1"/>
    <brk id="175" max="6" man="1"/>
    <brk id="211" max="6" man="1"/>
    <brk id="250" max="8" man="1"/>
    <brk id="290" max="8" man="1"/>
    <brk id="323" max="8" man="1"/>
    <brk id="357" max="8" man="1"/>
  </rowBreaks>
  <legacy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6"/>
  <sheetViews>
    <sheetView view="pageBreakPreview" zoomScaleNormal="110" zoomScaleSheetLayoutView="100" workbookViewId="0">
      <pane ySplit="13" topLeftCell="A91" activePane="bottomLeft" state="frozen"/>
      <selection pane="bottomLeft" activeCell="H7" sqref="H7"/>
    </sheetView>
  </sheetViews>
  <sheetFormatPr defaultRowHeight="15"/>
  <cols>
    <col min="1" max="1" width="10.7109375" style="61" customWidth="1"/>
    <col min="2" max="2" width="50.7109375" customWidth="1"/>
    <col min="3" max="3" width="5.7109375" customWidth="1"/>
    <col min="4" max="4" width="14.7109375" customWidth="1"/>
    <col min="5" max="5" width="5.7109375" customWidth="1"/>
    <col min="6" max="7" width="16.7109375" style="144" customWidth="1"/>
    <col min="8" max="8" width="16.7109375" customWidth="1"/>
    <col min="9" max="9" width="15" customWidth="1"/>
    <col min="10" max="10" width="11" customWidth="1"/>
    <col min="11" max="11" width="10.7109375" customWidth="1"/>
  </cols>
  <sheetData>
    <row r="1" spans="1:9" ht="30" customHeight="1">
      <c r="A1" s="76"/>
      <c r="B1" s="77"/>
      <c r="C1" s="78" t="s">
        <v>220</v>
      </c>
      <c r="D1" s="78" t="s">
        <v>301</v>
      </c>
      <c r="E1" s="78" t="s">
        <v>180</v>
      </c>
      <c r="F1" s="73" t="s">
        <v>398</v>
      </c>
      <c r="G1" s="73" t="s">
        <v>399</v>
      </c>
      <c r="H1" s="287" t="s">
        <v>400</v>
      </c>
    </row>
    <row r="2" spans="1:9" ht="25.5" customHeight="1">
      <c r="A2" s="79" t="s">
        <v>99</v>
      </c>
      <c r="B2" s="80" t="s">
        <v>100</v>
      </c>
      <c r="C2" s="81"/>
      <c r="D2" s="82">
        <f>D14+D59+D62+D65+D68+D81+D105+D108+D111+D116+D119+D76+D122</f>
        <v>105330000</v>
      </c>
      <c r="E2" s="81"/>
      <c r="F2" s="109">
        <f>F14+F59+F62+F65+F68+F81+F105+F108+F111+F116+F119+F76+F122</f>
        <v>39190888</v>
      </c>
      <c r="G2" s="109">
        <f>G14+G59+G62+G65+G68+G81+G105+G108+G111+G116+G119+G76+G122</f>
        <v>38890888</v>
      </c>
      <c r="H2" s="82">
        <f>H14+H59+H62+H65+H68+H81+H105+H108+H111+H116+H119+H76+H122</f>
        <v>38890888</v>
      </c>
      <c r="I2" s="22"/>
    </row>
    <row r="3" spans="1:9" ht="15" customHeight="1">
      <c r="A3" s="1058"/>
      <c r="B3" s="1058"/>
      <c r="C3" s="1059"/>
      <c r="D3" s="21">
        <f>D14+D59+D62+D65+D68+D76</f>
        <v>72000000</v>
      </c>
      <c r="E3" s="87">
        <v>11</v>
      </c>
      <c r="F3" s="142">
        <f>F14+F59+F62+F65+F68+F76-F34</f>
        <v>36015888</v>
      </c>
      <c r="G3" s="142">
        <f t="shared" ref="G3:H3" si="0">G14+G59+G62+G65+G68+G76-G34</f>
        <v>35715888</v>
      </c>
      <c r="H3" s="142">
        <f t="shared" si="0"/>
        <v>35715888</v>
      </c>
      <c r="I3" s="22"/>
    </row>
    <row r="4" spans="1:9">
      <c r="A4" s="1060"/>
      <c r="B4" s="1060"/>
      <c r="C4" s="1061"/>
      <c r="D4" s="21">
        <v>0</v>
      </c>
      <c r="E4" s="20">
        <v>12</v>
      </c>
      <c r="F4" s="142">
        <v>0</v>
      </c>
      <c r="G4" s="142">
        <v>0</v>
      </c>
      <c r="H4" s="21">
        <v>0</v>
      </c>
    </row>
    <row r="5" spans="1:9">
      <c r="A5" s="1060"/>
      <c r="B5" s="1060"/>
      <c r="C5" s="1061"/>
      <c r="D5" s="29">
        <f>D3+D4</f>
        <v>72000000</v>
      </c>
      <c r="E5" s="30" t="s">
        <v>267</v>
      </c>
      <c r="F5" s="143">
        <f>F3+F4</f>
        <v>36015888</v>
      </c>
      <c r="G5" s="143">
        <f>G3+G4</f>
        <v>35715888</v>
      </c>
      <c r="H5" s="29">
        <f>H3+H4</f>
        <v>35715888</v>
      </c>
    </row>
    <row r="6" spans="1:9">
      <c r="A6" s="1060"/>
      <c r="B6" s="1060"/>
      <c r="C6" s="1061"/>
      <c r="D6" s="515"/>
      <c r="E6" s="516" t="s">
        <v>272</v>
      </c>
      <c r="F6" s="517">
        <f>F34</f>
        <v>73000</v>
      </c>
      <c r="G6" s="517">
        <f t="shared" ref="G6:H6" si="1">G34</f>
        <v>73000</v>
      </c>
      <c r="H6" s="517">
        <f t="shared" si="1"/>
        <v>73000</v>
      </c>
    </row>
    <row r="7" spans="1:9">
      <c r="A7" s="1060"/>
      <c r="B7" s="1060"/>
      <c r="C7" s="1061"/>
      <c r="D7" s="21">
        <f>D81+D105+D108+D111</f>
        <v>2000000</v>
      </c>
      <c r="E7" s="20" t="s">
        <v>216</v>
      </c>
      <c r="F7" s="142">
        <f>F81+F105+F108+F111</f>
        <v>2027000</v>
      </c>
      <c r="G7" s="142">
        <f>G81+G105+G108+G111</f>
        <v>2027000</v>
      </c>
      <c r="H7" s="21">
        <f>H81+H105+H108+H111</f>
        <v>2027000</v>
      </c>
    </row>
    <row r="8" spans="1:9">
      <c r="A8" s="1060"/>
      <c r="B8" s="1060"/>
      <c r="C8" s="1061"/>
      <c r="D8" s="21">
        <f>D116+D119</f>
        <v>1175000</v>
      </c>
      <c r="E8" s="20">
        <v>71</v>
      </c>
      <c r="F8" s="142">
        <f t="shared" ref="F8:G8" si="2">F116+F119</f>
        <v>1075000</v>
      </c>
      <c r="G8" s="142">
        <f t="shared" si="2"/>
        <v>1075000</v>
      </c>
      <c r="H8" s="21">
        <f>H116+H119</f>
        <v>1075000</v>
      </c>
    </row>
    <row r="9" spans="1:9">
      <c r="A9" s="1060"/>
      <c r="B9" s="1060"/>
      <c r="C9" s="1061"/>
      <c r="D9" s="21">
        <v>0</v>
      </c>
      <c r="E9" s="20" t="s">
        <v>264</v>
      </c>
      <c r="F9" s="142">
        <v>0</v>
      </c>
      <c r="G9" s="142">
        <v>0</v>
      </c>
      <c r="H9" s="21">
        <v>0</v>
      </c>
    </row>
    <row r="10" spans="1:9">
      <c r="A10" s="1060"/>
      <c r="B10" s="1060"/>
      <c r="C10" s="1061"/>
      <c r="D10" s="21">
        <v>0</v>
      </c>
      <c r="E10" s="20" t="s">
        <v>265</v>
      </c>
      <c r="F10" s="142">
        <v>0</v>
      </c>
      <c r="G10" s="142">
        <v>0</v>
      </c>
      <c r="H10" s="21">
        <v>0</v>
      </c>
    </row>
    <row r="11" spans="1:9">
      <c r="A11" s="1060"/>
      <c r="B11" s="1060"/>
      <c r="C11" s="1061"/>
      <c r="D11" s="21">
        <v>0</v>
      </c>
      <c r="E11" s="20" t="s">
        <v>234</v>
      </c>
      <c r="F11" s="142">
        <v>0</v>
      </c>
      <c r="G11" s="142">
        <v>0</v>
      </c>
      <c r="H11" s="21">
        <v>0</v>
      </c>
    </row>
    <row r="12" spans="1:9">
      <c r="A12" s="1072"/>
      <c r="B12" s="1072"/>
      <c r="C12" s="1073"/>
      <c r="D12" s="21">
        <f>D122</f>
        <v>30155000</v>
      </c>
      <c r="E12" s="20" t="s">
        <v>292</v>
      </c>
      <c r="F12" s="142">
        <f t="shared" ref="F12:G12" si="3">F122</f>
        <v>0</v>
      </c>
      <c r="G12" s="142">
        <f t="shared" si="3"/>
        <v>0</v>
      </c>
      <c r="H12" s="21">
        <f>H122</f>
        <v>0</v>
      </c>
    </row>
    <row r="13" spans="1:9" ht="25.5" customHeight="1">
      <c r="A13" s="1068" t="s">
        <v>221</v>
      </c>
      <c r="B13" s="1069"/>
      <c r="C13" s="1069"/>
      <c r="D13" s="1069"/>
      <c r="E13" s="1069"/>
      <c r="F13" s="1070"/>
      <c r="G13" s="1071"/>
      <c r="H13" s="1069"/>
    </row>
    <row r="14" spans="1:9">
      <c r="A14" s="62" t="s">
        <v>101</v>
      </c>
      <c r="B14" s="8" t="s">
        <v>102</v>
      </c>
      <c r="C14" s="10"/>
      <c r="D14" s="9">
        <f>D15+D17+D19+D22+D26+D31+D40+D42+D49+D52+D57</f>
        <v>7611676</v>
      </c>
      <c r="E14" s="10" t="s">
        <v>0</v>
      </c>
      <c r="F14" s="145">
        <f>F15+F17+F19+F22+F26+F31+F40+F42+F49+F52+F57</f>
        <v>7255637</v>
      </c>
      <c r="G14" s="145">
        <f t="shared" ref="G14" si="4">G15+G17+G19+G22+G26+G31+G40+G42+G49+G52+G57</f>
        <v>7493996</v>
      </c>
      <c r="H14" s="9">
        <f>H15+H17+H19+H22+H26+H31+H40+H42+H49+H52+H57</f>
        <v>7495127</v>
      </c>
    </row>
    <row r="15" spans="1:9">
      <c r="A15" s="63" t="s">
        <v>1</v>
      </c>
      <c r="B15" s="6" t="s">
        <v>2</v>
      </c>
      <c r="C15" s="5" t="s">
        <v>225</v>
      </c>
      <c r="D15" s="1">
        <f>D16</f>
        <v>1910300</v>
      </c>
      <c r="E15" s="5" t="s">
        <v>0</v>
      </c>
      <c r="F15" s="146">
        <f>F16</f>
        <v>2119886</v>
      </c>
      <c r="G15" s="146">
        <f>G16</f>
        <v>2147092</v>
      </c>
      <c r="H15" s="1">
        <f>H16</f>
        <v>2164531</v>
      </c>
    </row>
    <row r="16" spans="1:9">
      <c r="A16" s="64" t="s">
        <v>3</v>
      </c>
      <c r="B16" s="2" t="s">
        <v>4</v>
      </c>
      <c r="C16" s="7" t="s">
        <v>225</v>
      </c>
      <c r="D16" s="3">
        <v>1910300</v>
      </c>
      <c r="E16" s="7" t="s">
        <v>0</v>
      </c>
      <c r="F16" s="3">
        <v>2119886</v>
      </c>
      <c r="G16" s="3">
        <v>2147092</v>
      </c>
      <c r="H16" s="3">
        <v>2164531</v>
      </c>
    </row>
    <row r="17" spans="1:8">
      <c r="A17" s="63" t="s">
        <v>7</v>
      </c>
      <c r="B17" s="6" t="s">
        <v>8</v>
      </c>
      <c r="C17" s="5" t="s">
        <v>225</v>
      </c>
      <c r="D17" s="1">
        <f>D18</f>
        <v>45000</v>
      </c>
      <c r="E17" s="5" t="s">
        <v>0</v>
      </c>
      <c r="F17" s="146">
        <f>F18</f>
        <v>35000</v>
      </c>
      <c r="G17" s="146">
        <f>G18</f>
        <v>40000</v>
      </c>
      <c r="H17" s="1">
        <f>H18</f>
        <v>35000</v>
      </c>
    </row>
    <row r="18" spans="1:8">
      <c r="A18" s="64" t="s">
        <v>9</v>
      </c>
      <c r="B18" s="2" t="s">
        <v>8</v>
      </c>
      <c r="C18" s="7" t="s">
        <v>225</v>
      </c>
      <c r="D18" s="3">
        <v>45000</v>
      </c>
      <c r="E18" s="7" t="s">
        <v>0</v>
      </c>
      <c r="F18" s="3">
        <v>35000</v>
      </c>
      <c r="G18" s="3">
        <v>40000</v>
      </c>
      <c r="H18" s="3">
        <v>35000</v>
      </c>
    </row>
    <row r="19" spans="1:8">
      <c r="A19" s="63" t="s">
        <v>10</v>
      </c>
      <c r="B19" s="6" t="s">
        <v>11</v>
      </c>
      <c r="C19" s="5" t="s">
        <v>225</v>
      </c>
      <c r="D19" s="1">
        <f>D20+D21</f>
        <v>328563</v>
      </c>
      <c r="E19" s="5" t="s">
        <v>0</v>
      </c>
      <c r="F19" s="146">
        <f>F20+F21</f>
        <v>363751</v>
      </c>
      <c r="G19" s="146">
        <f>G20+G21</f>
        <v>367404</v>
      </c>
      <c r="H19" s="1">
        <f>H20+H21</f>
        <v>371096</v>
      </c>
    </row>
    <row r="20" spans="1:8">
      <c r="A20" s="64" t="s">
        <v>12</v>
      </c>
      <c r="B20" s="2" t="s">
        <v>13</v>
      </c>
      <c r="C20" s="7" t="s">
        <v>225</v>
      </c>
      <c r="D20" s="3">
        <v>296090</v>
      </c>
      <c r="E20" s="7" t="s">
        <v>0</v>
      </c>
      <c r="F20" s="3">
        <v>327800</v>
      </c>
      <c r="G20" s="3">
        <v>331092</v>
      </c>
      <c r="H20" s="3">
        <v>334548</v>
      </c>
    </row>
    <row r="21" spans="1:8">
      <c r="A21" s="64" t="s">
        <v>14</v>
      </c>
      <c r="B21" s="2" t="s">
        <v>15</v>
      </c>
      <c r="C21" s="7" t="s">
        <v>225</v>
      </c>
      <c r="D21" s="3">
        <v>32473</v>
      </c>
      <c r="E21" s="7" t="s">
        <v>0</v>
      </c>
      <c r="F21" s="3">
        <v>35951</v>
      </c>
      <c r="G21" s="3">
        <v>36312</v>
      </c>
      <c r="H21" s="3">
        <v>36548</v>
      </c>
    </row>
    <row r="22" spans="1:8">
      <c r="A22" s="63" t="s">
        <v>16</v>
      </c>
      <c r="B22" s="6" t="s">
        <v>17</v>
      </c>
      <c r="C22" s="5" t="s">
        <v>225</v>
      </c>
      <c r="D22" s="1">
        <f>D23+D24+D25</f>
        <v>215000</v>
      </c>
      <c r="E22" s="5" t="s">
        <v>0</v>
      </c>
      <c r="F22" s="146">
        <f>F23+F24+F25</f>
        <v>200000</v>
      </c>
      <c r="G22" s="146">
        <f>G23+G24+G25</f>
        <v>190000</v>
      </c>
      <c r="H22" s="1">
        <f>H23+H24+H25</f>
        <v>190000</v>
      </c>
    </row>
    <row r="23" spans="1:8">
      <c r="A23" s="64" t="s">
        <v>18</v>
      </c>
      <c r="B23" s="2" t="s">
        <v>19</v>
      </c>
      <c r="C23" s="7" t="s">
        <v>225</v>
      </c>
      <c r="D23" s="3">
        <v>100000</v>
      </c>
      <c r="E23" s="7" t="s">
        <v>0</v>
      </c>
      <c r="F23" s="3">
        <v>90000</v>
      </c>
      <c r="G23" s="3">
        <v>80000</v>
      </c>
      <c r="H23" s="3">
        <v>80000</v>
      </c>
    </row>
    <row r="24" spans="1:8">
      <c r="A24" s="64" t="s">
        <v>20</v>
      </c>
      <c r="B24" s="2" t="s">
        <v>21</v>
      </c>
      <c r="C24" s="7" t="s">
        <v>225</v>
      </c>
      <c r="D24" s="3">
        <v>100000</v>
      </c>
      <c r="E24" s="7" t="s">
        <v>0</v>
      </c>
      <c r="F24" s="3">
        <v>100000</v>
      </c>
      <c r="G24" s="3">
        <v>100000</v>
      </c>
      <c r="H24" s="3">
        <v>100000</v>
      </c>
    </row>
    <row r="25" spans="1:8">
      <c r="A25" s="64" t="s">
        <v>22</v>
      </c>
      <c r="B25" s="2" t="s">
        <v>23</v>
      </c>
      <c r="C25" s="7" t="s">
        <v>225</v>
      </c>
      <c r="D25" s="3">
        <v>15000</v>
      </c>
      <c r="E25" s="7" t="s">
        <v>0</v>
      </c>
      <c r="F25" s="3">
        <v>10000</v>
      </c>
      <c r="G25" s="3">
        <v>10000</v>
      </c>
      <c r="H25" s="3">
        <v>10000</v>
      </c>
    </row>
    <row r="26" spans="1:8">
      <c r="A26" s="63" t="s">
        <v>24</v>
      </c>
      <c r="B26" s="6" t="s">
        <v>25</v>
      </c>
      <c r="C26" s="5" t="s">
        <v>225</v>
      </c>
      <c r="D26" s="1">
        <f>D27+D28+D29+D30</f>
        <v>226000</v>
      </c>
      <c r="E26" s="5" t="s">
        <v>0</v>
      </c>
      <c r="F26" s="146">
        <f>F27+F28+F29+F30</f>
        <v>180000</v>
      </c>
      <c r="G26" s="146">
        <f>G27+G28+G29+G30</f>
        <v>182500</v>
      </c>
      <c r="H26" s="1">
        <f>H27+H28+H29+H30</f>
        <v>182500</v>
      </c>
    </row>
    <row r="27" spans="1:8">
      <c r="A27" s="64" t="s">
        <v>26</v>
      </c>
      <c r="B27" s="2" t="s">
        <v>27</v>
      </c>
      <c r="C27" s="7" t="s">
        <v>225</v>
      </c>
      <c r="D27" s="3">
        <v>56000</v>
      </c>
      <c r="E27" s="7" t="s">
        <v>0</v>
      </c>
      <c r="F27" s="3">
        <v>50000</v>
      </c>
      <c r="G27" s="3">
        <v>50000</v>
      </c>
      <c r="H27" s="3">
        <v>50000</v>
      </c>
    </row>
    <row r="28" spans="1:8">
      <c r="A28" s="64" t="s">
        <v>28</v>
      </c>
      <c r="B28" s="2" t="s">
        <v>29</v>
      </c>
      <c r="C28" s="7" t="s">
        <v>225</v>
      </c>
      <c r="D28" s="3">
        <v>135000</v>
      </c>
      <c r="E28" s="7" t="s">
        <v>0</v>
      </c>
      <c r="F28" s="3">
        <v>110000</v>
      </c>
      <c r="G28" s="3">
        <v>110000</v>
      </c>
      <c r="H28" s="3">
        <v>110000</v>
      </c>
    </row>
    <row r="29" spans="1:8">
      <c r="A29" s="64" t="s">
        <v>32</v>
      </c>
      <c r="B29" s="2" t="s">
        <v>33</v>
      </c>
      <c r="C29" s="7" t="s">
        <v>225</v>
      </c>
      <c r="D29" s="3">
        <v>25000</v>
      </c>
      <c r="E29" s="7" t="s">
        <v>0</v>
      </c>
      <c r="F29" s="3">
        <v>20000</v>
      </c>
      <c r="G29" s="3">
        <v>22500</v>
      </c>
      <c r="H29" s="3">
        <v>22500</v>
      </c>
    </row>
    <row r="30" spans="1:8">
      <c r="A30" s="64" t="s">
        <v>103</v>
      </c>
      <c r="B30" s="2" t="s">
        <v>104</v>
      </c>
      <c r="C30" s="7" t="s">
        <v>225</v>
      </c>
      <c r="D30" s="3">
        <v>10000</v>
      </c>
      <c r="E30" s="7" t="s">
        <v>0</v>
      </c>
      <c r="F30" s="3">
        <v>0</v>
      </c>
      <c r="G30" s="3">
        <v>0</v>
      </c>
      <c r="H30" s="3">
        <v>0</v>
      </c>
    </row>
    <row r="31" spans="1:8">
      <c r="A31" s="63" t="s">
        <v>34</v>
      </c>
      <c r="B31" s="6" t="s">
        <v>35</v>
      </c>
      <c r="C31" s="5" t="s">
        <v>225</v>
      </c>
      <c r="D31" s="1">
        <f>D32+D33+D35+D36+D37+D38+D39</f>
        <v>3648000</v>
      </c>
      <c r="E31" s="5" t="s">
        <v>0</v>
      </c>
      <c r="F31" s="146">
        <f>F32+F33++F34+F35+F36+F37+F38+F39</f>
        <v>3173000</v>
      </c>
      <c r="G31" s="146">
        <f t="shared" ref="G31:H31" si="5">G32+G33+G34+G35+G36+G37+G38+G39</f>
        <v>3383000</v>
      </c>
      <c r="H31" s="146">
        <f t="shared" si="5"/>
        <v>3373000</v>
      </c>
    </row>
    <row r="32" spans="1:8">
      <c r="A32" s="64" t="s">
        <v>36</v>
      </c>
      <c r="B32" s="2" t="s">
        <v>37</v>
      </c>
      <c r="C32" s="7" t="s">
        <v>225</v>
      </c>
      <c r="D32" s="3">
        <v>700000</v>
      </c>
      <c r="E32" s="7" t="s">
        <v>0</v>
      </c>
      <c r="F32" s="3">
        <v>450000</v>
      </c>
      <c r="G32" s="3">
        <v>500000</v>
      </c>
      <c r="H32" s="3">
        <v>500000</v>
      </c>
    </row>
    <row r="33" spans="1:8">
      <c r="A33" s="64" t="s">
        <v>38</v>
      </c>
      <c r="B33" s="2" t="s">
        <v>39</v>
      </c>
      <c r="C33" s="7" t="s">
        <v>225</v>
      </c>
      <c r="D33" s="3">
        <v>1500000</v>
      </c>
      <c r="E33" s="7" t="s">
        <v>0</v>
      </c>
      <c r="F33" s="3">
        <v>1300000</v>
      </c>
      <c r="G33" s="3">
        <v>1400000</v>
      </c>
      <c r="H33" s="3">
        <v>1400000</v>
      </c>
    </row>
    <row r="34" spans="1:8">
      <c r="A34" s="102" t="s">
        <v>38</v>
      </c>
      <c r="B34" s="103" t="s">
        <v>39</v>
      </c>
      <c r="C34" s="104"/>
      <c r="D34" s="105"/>
      <c r="E34" s="104" t="s">
        <v>272</v>
      </c>
      <c r="F34" s="105">
        <v>73000</v>
      </c>
      <c r="G34" s="105">
        <v>73000</v>
      </c>
      <c r="H34" s="105">
        <v>73000</v>
      </c>
    </row>
    <row r="35" spans="1:8">
      <c r="A35" s="64" t="s">
        <v>40</v>
      </c>
      <c r="B35" s="2" t="s">
        <v>41</v>
      </c>
      <c r="C35" s="7" t="s">
        <v>225</v>
      </c>
      <c r="D35" s="3">
        <v>50000</v>
      </c>
      <c r="E35" s="7" t="s">
        <v>0</v>
      </c>
      <c r="F35" s="3">
        <v>30000</v>
      </c>
      <c r="G35" s="3">
        <v>40000</v>
      </c>
      <c r="H35" s="3">
        <v>40000</v>
      </c>
    </row>
    <row r="36" spans="1:8">
      <c r="A36" s="64" t="s">
        <v>42</v>
      </c>
      <c r="B36" s="2" t="s">
        <v>43</v>
      </c>
      <c r="C36" s="7" t="s">
        <v>225</v>
      </c>
      <c r="D36" s="3">
        <v>650000</v>
      </c>
      <c r="E36" s="7" t="s">
        <v>0</v>
      </c>
      <c r="F36" s="3">
        <v>700000</v>
      </c>
      <c r="G36" s="3">
        <v>750000</v>
      </c>
      <c r="H36" s="3">
        <v>750000</v>
      </c>
    </row>
    <row r="37" spans="1:8">
      <c r="A37" s="64" t="s">
        <v>46</v>
      </c>
      <c r="B37" s="2" t="s">
        <v>47</v>
      </c>
      <c r="C37" s="7" t="s">
        <v>225</v>
      </c>
      <c r="D37" s="3">
        <v>50000</v>
      </c>
      <c r="E37" s="7" t="s">
        <v>0</v>
      </c>
      <c r="F37" s="3">
        <v>40000</v>
      </c>
      <c r="G37" s="3">
        <v>40000</v>
      </c>
      <c r="H37" s="3">
        <v>40000</v>
      </c>
    </row>
    <row r="38" spans="1:8">
      <c r="A38" s="64" t="s">
        <v>48</v>
      </c>
      <c r="B38" s="2" t="s">
        <v>49</v>
      </c>
      <c r="C38" s="7" t="s">
        <v>225</v>
      </c>
      <c r="D38" s="3">
        <v>198000</v>
      </c>
      <c r="E38" s="7" t="s">
        <v>0</v>
      </c>
      <c r="F38" s="3">
        <v>180000</v>
      </c>
      <c r="G38" s="3">
        <v>180000</v>
      </c>
      <c r="H38" s="3">
        <v>170000</v>
      </c>
    </row>
    <row r="39" spans="1:8">
      <c r="A39" s="64" t="s">
        <v>52</v>
      </c>
      <c r="B39" s="2" t="s">
        <v>53</v>
      </c>
      <c r="C39" s="7" t="s">
        <v>225</v>
      </c>
      <c r="D39" s="3">
        <v>500000</v>
      </c>
      <c r="E39" s="7" t="s">
        <v>0</v>
      </c>
      <c r="F39" s="3">
        <v>400000</v>
      </c>
      <c r="G39" s="3">
        <v>400000</v>
      </c>
      <c r="H39" s="3">
        <v>400000</v>
      </c>
    </row>
    <row r="40" spans="1:8">
      <c r="A40" s="63" t="s">
        <v>54</v>
      </c>
      <c r="B40" s="6" t="s">
        <v>55</v>
      </c>
      <c r="C40" s="5" t="s">
        <v>225</v>
      </c>
      <c r="D40" s="1">
        <f>D41</f>
        <v>5000</v>
      </c>
      <c r="E40" s="5" t="s">
        <v>0</v>
      </c>
      <c r="F40" s="146">
        <f>F41</f>
        <v>2000</v>
      </c>
      <c r="G40" s="146">
        <f>G41</f>
        <v>2000</v>
      </c>
      <c r="H40" s="1">
        <f>H41</f>
        <v>2000</v>
      </c>
    </row>
    <row r="41" spans="1:8">
      <c r="A41" s="64" t="s">
        <v>56</v>
      </c>
      <c r="B41" s="2" t="s">
        <v>55</v>
      </c>
      <c r="C41" s="7" t="s">
        <v>225</v>
      </c>
      <c r="D41" s="3">
        <v>5000</v>
      </c>
      <c r="E41" s="7" t="s">
        <v>0</v>
      </c>
      <c r="F41" s="3">
        <v>2000</v>
      </c>
      <c r="G41" s="3">
        <v>2000</v>
      </c>
      <c r="H41" s="3">
        <v>2000</v>
      </c>
    </row>
    <row r="42" spans="1:8">
      <c r="A42" s="63" t="s">
        <v>57</v>
      </c>
      <c r="B42" s="6" t="s">
        <v>58</v>
      </c>
      <c r="C42" s="5" t="s">
        <v>225</v>
      </c>
      <c r="D42" s="1">
        <f>D43+D44+D45+D46+D47+D48</f>
        <v>1128988</v>
      </c>
      <c r="E42" s="5" t="s">
        <v>0</v>
      </c>
      <c r="F42" s="146">
        <f>F43+F44+F45+F46+F47+F48</f>
        <v>1127000</v>
      </c>
      <c r="G42" s="146">
        <f>G43+G44+G45+G46+G47+G48</f>
        <v>1132000</v>
      </c>
      <c r="H42" s="1">
        <f>H43+H44+H45+H46+H47+H48</f>
        <v>1132000</v>
      </c>
    </row>
    <row r="43" spans="1:8">
      <c r="A43" s="64" t="s">
        <v>61</v>
      </c>
      <c r="B43" s="2" t="s">
        <v>62</v>
      </c>
      <c r="C43" s="7" t="s">
        <v>225</v>
      </c>
      <c r="D43" s="3">
        <v>1081988</v>
      </c>
      <c r="E43" s="7" t="s">
        <v>0</v>
      </c>
      <c r="F43" s="3">
        <v>1100000</v>
      </c>
      <c r="G43" s="3">
        <v>1100000</v>
      </c>
      <c r="H43" s="3">
        <v>1100000</v>
      </c>
    </row>
    <row r="44" spans="1:8">
      <c r="A44" s="64" t="s">
        <v>63</v>
      </c>
      <c r="B44" s="2" t="s">
        <v>64</v>
      </c>
      <c r="C44" s="7" t="s">
        <v>225</v>
      </c>
      <c r="D44" s="3">
        <v>5000</v>
      </c>
      <c r="E44" s="7" t="s">
        <v>0</v>
      </c>
      <c r="F44" s="3">
        <v>5000</v>
      </c>
      <c r="G44" s="3">
        <v>5000</v>
      </c>
      <c r="H44" s="3">
        <v>5000</v>
      </c>
    </row>
    <row r="45" spans="1:8">
      <c r="A45" s="64" t="s">
        <v>65</v>
      </c>
      <c r="B45" s="2" t="s">
        <v>66</v>
      </c>
      <c r="C45" s="7" t="s">
        <v>225</v>
      </c>
      <c r="D45" s="3">
        <v>0</v>
      </c>
      <c r="E45" s="7" t="s">
        <v>0</v>
      </c>
      <c r="F45" s="3">
        <v>0</v>
      </c>
      <c r="G45" s="3">
        <v>0</v>
      </c>
      <c r="H45" s="3">
        <v>0</v>
      </c>
    </row>
    <row r="46" spans="1:8">
      <c r="A46" s="64" t="s">
        <v>67</v>
      </c>
      <c r="B46" s="2" t="s">
        <v>68</v>
      </c>
      <c r="C46" s="7" t="s">
        <v>225</v>
      </c>
      <c r="D46" s="3">
        <v>2000</v>
      </c>
      <c r="E46" s="7" t="s">
        <v>0</v>
      </c>
      <c r="F46" s="3">
        <v>2000</v>
      </c>
      <c r="G46" s="3">
        <v>2000</v>
      </c>
      <c r="H46" s="3">
        <v>2000</v>
      </c>
    </row>
    <row r="47" spans="1:8">
      <c r="A47" s="64" t="s">
        <v>105</v>
      </c>
      <c r="B47" s="2" t="s">
        <v>106</v>
      </c>
      <c r="C47" s="7" t="s">
        <v>225</v>
      </c>
      <c r="D47" s="3">
        <v>20000</v>
      </c>
      <c r="E47" s="7" t="s">
        <v>0</v>
      </c>
      <c r="F47" s="3">
        <v>10000</v>
      </c>
      <c r="G47" s="3">
        <v>10000</v>
      </c>
      <c r="H47" s="3">
        <v>10000</v>
      </c>
    </row>
    <row r="48" spans="1:8">
      <c r="A48" s="64" t="s">
        <v>69</v>
      </c>
      <c r="B48" s="2" t="s">
        <v>58</v>
      </c>
      <c r="C48" s="7" t="s">
        <v>225</v>
      </c>
      <c r="D48" s="3">
        <v>20000</v>
      </c>
      <c r="E48" s="7" t="s">
        <v>0</v>
      </c>
      <c r="F48" s="3">
        <v>10000</v>
      </c>
      <c r="G48" s="3">
        <v>15000</v>
      </c>
      <c r="H48" s="3">
        <v>15000</v>
      </c>
    </row>
    <row r="49" spans="1:8">
      <c r="A49" s="63" t="s">
        <v>70</v>
      </c>
      <c r="B49" s="6" t="s">
        <v>71</v>
      </c>
      <c r="C49" s="5" t="s">
        <v>225</v>
      </c>
      <c r="D49" s="1">
        <f>D50+D51</f>
        <v>15000</v>
      </c>
      <c r="E49" s="5" t="s">
        <v>0</v>
      </c>
      <c r="F49" s="146">
        <f>F50+F51</f>
        <v>15000</v>
      </c>
      <c r="G49" s="146">
        <f>G50+G51</f>
        <v>15000</v>
      </c>
      <c r="H49" s="1">
        <f>H50+H51</f>
        <v>15000</v>
      </c>
    </row>
    <row r="50" spans="1:8">
      <c r="A50" s="64" t="s">
        <v>74</v>
      </c>
      <c r="B50" s="2" t="s">
        <v>75</v>
      </c>
      <c r="C50" s="7" t="s">
        <v>225</v>
      </c>
      <c r="D50" s="3">
        <v>5000</v>
      </c>
      <c r="E50" s="7" t="s">
        <v>0</v>
      </c>
      <c r="F50" s="3">
        <v>5000</v>
      </c>
      <c r="G50" s="3">
        <v>5000</v>
      </c>
      <c r="H50" s="3">
        <v>5000</v>
      </c>
    </row>
    <row r="51" spans="1:8">
      <c r="A51" s="64" t="s">
        <v>76</v>
      </c>
      <c r="B51" s="2" t="s">
        <v>77</v>
      </c>
      <c r="C51" s="7" t="s">
        <v>225</v>
      </c>
      <c r="D51" s="3">
        <v>10000</v>
      </c>
      <c r="E51" s="7" t="s">
        <v>0</v>
      </c>
      <c r="F51" s="3">
        <v>10000</v>
      </c>
      <c r="G51" s="3">
        <v>10000</v>
      </c>
      <c r="H51" s="3">
        <v>10000</v>
      </c>
    </row>
    <row r="52" spans="1:8">
      <c r="A52" s="63" t="s">
        <v>88</v>
      </c>
      <c r="B52" s="6" t="s">
        <v>89</v>
      </c>
      <c r="C52" s="5" t="s">
        <v>225</v>
      </c>
      <c r="D52" s="1">
        <f>D53+D54+D55</f>
        <v>70000</v>
      </c>
      <c r="E52" s="5" t="s">
        <v>0</v>
      </c>
      <c r="F52" s="146">
        <f>F53+F54+F55</f>
        <v>40000</v>
      </c>
      <c r="G52" s="146">
        <f>G53+G54+G55</f>
        <v>35000</v>
      </c>
      <c r="H52" s="1">
        <f>H53+H54+H55</f>
        <v>30000</v>
      </c>
    </row>
    <row r="53" spans="1:8">
      <c r="A53" s="64" t="s">
        <v>90</v>
      </c>
      <c r="B53" s="2" t="s">
        <v>91</v>
      </c>
      <c r="C53" s="7" t="s">
        <v>225</v>
      </c>
      <c r="D53" s="3">
        <v>30000</v>
      </c>
      <c r="E53" s="7" t="s">
        <v>0</v>
      </c>
      <c r="F53" s="3">
        <v>10000</v>
      </c>
      <c r="G53" s="3">
        <v>10000</v>
      </c>
      <c r="H53" s="3">
        <v>10000</v>
      </c>
    </row>
    <row r="54" spans="1:8">
      <c r="A54" s="64" t="s">
        <v>92</v>
      </c>
      <c r="B54" s="2" t="s">
        <v>93</v>
      </c>
      <c r="C54" s="7" t="s">
        <v>225</v>
      </c>
      <c r="D54" s="3">
        <v>15000</v>
      </c>
      <c r="E54" s="7" t="s">
        <v>0</v>
      </c>
      <c r="F54" s="3">
        <v>10000</v>
      </c>
      <c r="G54" s="3">
        <v>10000</v>
      </c>
      <c r="H54" s="3">
        <v>10000</v>
      </c>
    </row>
    <row r="55" spans="1:8">
      <c r="A55" s="64" t="s">
        <v>94</v>
      </c>
      <c r="B55" s="2" t="s">
        <v>95</v>
      </c>
      <c r="C55" s="7" t="s">
        <v>225</v>
      </c>
      <c r="D55" s="3">
        <v>25000</v>
      </c>
      <c r="E55" s="7" t="s">
        <v>0</v>
      </c>
      <c r="F55" s="3">
        <v>20000</v>
      </c>
      <c r="G55" s="3">
        <v>15000</v>
      </c>
      <c r="H55" s="3">
        <v>10000</v>
      </c>
    </row>
    <row r="56" spans="1:8">
      <c r="A56" s="64">
        <v>4225</v>
      </c>
      <c r="B56" s="2" t="s">
        <v>291</v>
      </c>
      <c r="C56" s="7" t="s">
        <v>225</v>
      </c>
      <c r="D56" s="3">
        <v>0</v>
      </c>
      <c r="E56" s="7" t="s">
        <v>0</v>
      </c>
      <c r="F56" s="3">
        <v>0</v>
      </c>
      <c r="G56" s="3">
        <v>0</v>
      </c>
      <c r="H56" s="3">
        <v>0</v>
      </c>
    </row>
    <row r="57" spans="1:8">
      <c r="A57" s="63" t="s">
        <v>140</v>
      </c>
      <c r="B57" s="6" t="s">
        <v>287</v>
      </c>
      <c r="C57" s="5" t="s">
        <v>225</v>
      </c>
      <c r="D57" s="1">
        <f>D58</f>
        <v>19825</v>
      </c>
      <c r="E57" s="5" t="s">
        <v>0</v>
      </c>
      <c r="F57" s="146">
        <f t="shared" ref="F57:G57" si="6">F58</f>
        <v>0</v>
      </c>
      <c r="G57" s="146">
        <f t="shared" si="6"/>
        <v>0</v>
      </c>
      <c r="H57" s="1">
        <f>H58</f>
        <v>0</v>
      </c>
    </row>
    <row r="58" spans="1:8">
      <c r="A58" s="64">
        <v>4262</v>
      </c>
      <c r="B58" s="2" t="s">
        <v>288</v>
      </c>
      <c r="C58" s="7" t="s">
        <v>225</v>
      </c>
      <c r="D58" s="3">
        <v>19825</v>
      </c>
      <c r="E58" s="7" t="s">
        <v>0</v>
      </c>
      <c r="F58" s="3">
        <v>0</v>
      </c>
      <c r="G58" s="3">
        <v>0</v>
      </c>
      <c r="H58" s="3">
        <v>0</v>
      </c>
    </row>
    <row r="59" spans="1:8">
      <c r="A59" s="62" t="s">
        <v>107</v>
      </c>
      <c r="B59" s="8" t="s">
        <v>108</v>
      </c>
      <c r="C59" s="10"/>
      <c r="D59" s="9">
        <f t="shared" ref="D59:H60" si="7">D60</f>
        <v>5678324</v>
      </c>
      <c r="E59" s="10" t="s">
        <v>0</v>
      </c>
      <c r="F59" s="145">
        <f t="shared" si="7"/>
        <v>6203251</v>
      </c>
      <c r="G59" s="145">
        <f t="shared" si="7"/>
        <v>6359892</v>
      </c>
      <c r="H59" s="9">
        <f t="shared" si="7"/>
        <v>6363761</v>
      </c>
    </row>
    <row r="60" spans="1:8">
      <c r="A60" s="63" t="s">
        <v>34</v>
      </c>
      <c r="B60" s="6" t="s">
        <v>35</v>
      </c>
      <c r="C60" s="5" t="s">
        <v>224</v>
      </c>
      <c r="D60" s="1">
        <f t="shared" si="7"/>
        <v>5678324</v>
      </c>
      <c r="E60" s="5" t="s">
        <v>0</v>
      </c>
      <c r="F60" s="146">
        <f t="shared" si="7"/>
        <v>6203251</v>
      </c>
      <c r="G60" s="146">
        <f t="shared" si="7"/>
        <v>6359892</v>
      </c>
      <c r="H60" s="1">
        <f t="shared" si="7"/>
        <v>6363761</v>
      </c>
    </row>
    <row r="61" spans="1:8">
      <c r="A61" s="64" t="s">
        <v>44</v>
      </c>
      <c r="B61" s="2" t="s">
        <v>45</v>
      </c>
      <c r="C61" s="7" t="s">
        <v>224</v>
      </c>
      <c r="D61" s="3">
        <v>5678324</v>
      </c>
      <c r="E61" s="7" t="s">
        <v>0</v>
      </c>
      <c r="F61" s="3">
        <v>6203251</v>
      </c>
      <c r="G61" s="3">
        <v>6359892</v>
      </c>
      <c r="H61" s="3">
        <v>6363761</v>
      </c>
    </row>
    <row r="62" spans="1:8">
      <c r="A62" s="62" t="s">
        <v>109</v>
      </c>
      <c r="B62" s="8" t="s">
        <v>87</v>
      </c>
      <c r="C62" s="10"/>
      <c r="D62" s="9">
        <f t="shared" ref="D62:H63" si="8">D63</f>
        <v>50000</v>
      </c>
      <c r="E62" s="10" t="s">
        <v>0</v>
      </c>
      <c r="F62" s="145">
        <f t="shared" si="8"/>
        <v>40000</v>
      </c>
      <c r="G62" s="145">
        <f t="shared" si="8"/>
        <v>35000</v>
      </c>
      <c r="H62" s="9">
        <f t="shared" si="8"/>
        <v>30000</v>
      </c>
    </row>
    <row r="63" spans="1:8">
      <c r="A63" s="63" t="s">
        <v>88</v>
      </c>
      <c r="B63" s="6" t="s">
        <v>89</v>
      </c>
      <c r="C63" s="5" t="s">
        <v>225</v>
      </c>
      <c r="D63" s="1">
        <f t="shared" si="8"/>
        <v>50000</v>
      </c>
      <c r="E63" s="5" t="s">
        <v>0</v>
      </c>
      <c r="F63" s="146">
        <f t="shared" si="8"/>
        <v>40000</v>
      </c>
      <c r="G63" s="146">
        <f t="shared" si="8"/>
        <v>35000</v>
      </c>
      <c r="H63" s="1">
        <f t="shared" si="8"/>
        <v>30000</v>
      </c>
    </row>
    <row r="64" spans="1:8">
      <c r="A64" s="64" t="s">
        <v>90</v>
      </c>
      <c r="B64" s="2" t="s">
        <v>91</v>
      </c>
      <c r="C64" s="7" t="s">
        <v>225</v>
      </c>
      <c r="D64" s="3">
        <v>50000</v>
      </c>
      <c r="E64" s="7" t="s">
        <v>0</v>
      </c>
      <c r="F64" s="3">
        <v>40000</v>
      </c>
      <c r="G64" s="3">
        <v>35000</v>
      </c>
      <c r="H64" s="3">
        <v>30000</v>
      </c>
    </row>
    <row r="65" spans="1:8">
      <c r="A65" s="62" t="s">
        <v>110</v>
      </c>
      <c r="B65" s="8" t="s">
        <v>111</v>
      </c>
      <c r="C65" s="10"/>
      <c r="D65" s="9">
        <f t="shared" ref="D65:H66" si="9">D66</f>
        <v>53700000</v>
      </c>
      <c r="E65" s="10" t="s">
        <v>0</v>
      </c>
      <c r="F65" s="145">
        <f t="shared" si="9"/>
        <v>22390000</v>
      </c>
      <c r="G65" s="145">
        <f t="shared" si="9"/>
        <v>21900000</v>
      </c>
      <c r="H65" s="9">
        <f t="shared" si="9"/>
        <v>21900000</v>
      </c>
    </row>
    <row r="66" spans="1:8">
      <c r="A66" s="63" t="s">
        <v>112</v>
      </c>
      <c r="B66" s="6" t="s">
        <v>113</v>
      </c>
      <c r="C66" s="5" t="s">
        <v>226</v>
      </c>
      <c r="D66" s="1">
        <f t="shared" si="9"/>
        <v>53700000</v>
      </c>
      <c r="E66" s="5" t="s">
        <v>0</v>
      </c>
      <c r="F66" s="146">
        <f t="shared" si="9"/>
        <v>22390000</v>
      </c>
      <c r="G66" s="146">
        <f t="shared" si="9"/>
        <v>21900000</v>
      </c>
      <c r="H66" s="1">
        <f t="shared" si="9"/>
        <v>21900000</v>
      </c>
    </row>
    <row r="67" spans="1:8">
      <c r="A67" s="64" t="s">
        <v>114</v>
      </c>
      <c r="B67" s="2" t="s">
        <v>113</v>
      </c>
      <c r="C67" s="7" t="s">
        <v>226</v>
      </c>
      <c r="D67" s="3">
        <v>53700000</v>
      </c>
      <c r="E67" s="7" t="s">
        <v>0</v>
      </c>
      <c r="F67" s="3">
        <v>22390000</v>
      </c>
      <c r="G67" s="3">
        <v>21900000</v>
      </c>
      <c r="H67" s="3">
        <v>21900000</v>
      </c>
    </row>
    <row r="68" spans="1:8">
      <c r="A68" s="62" t="s">
        <v>115</v>
      </c>
      <c r="B68" s="8" t="s">
        <v>116</v>
      </c>
      <c r="C68" s="10"/>
      <c r="D68" s="9">
        <f>D69+D74</f>
        <v>200000</v>
      </c>
      <c r="E68" s="10" t="s">
        <v>0</v>
      </c>
      <c r="F68" s="145">
        <f>F69+F74</f>
        <v>0</v>
      </c>
      <c r="G68" s="145">
        <f>G69+G74</f>
        <v>0</v>
      </c>
      <c r="H68" s="9">
        <f>H69+H74</f>
        <v>0</v>
      </c>
    </row>
    <row r="69" spans="1:8">
      <c r="A69" s="63" t="s">
        <v>34</v>
      </c>
      <c r="B69" s="6" t="s">
        <v>35</v>
      </c>
      <c r="C69" s="5" t="s">
        <v>226</v>
      </c>
      <c r="D69" s="1">
        <f>D70+D71+D72+D73</f>
        <v>200000</v>
      </c>
      <c r="E69" s="5" t="s">
        <v>0</v>
      </c>
      <c r="F69" s="146">
        <f>F70+F71+F72+F73</f>
        <v>0</v>
      </c>
      <c r="G69" s="146">
        <f>G70+G71+G72+G73</f>
        <v>0</v>
      </c>
      <c r="H69" s="1">
        <f>H70+H71+H72+H73</f>
        <v>0</v>
      </c>
    </row>
    <row r="70" spans="1:8">
      <c r="A70" s="64" t="s">
        <v>36</v>
      </c>
      <c r="B70" s="2" t="s">
        <v>37</v>
      </c>
      <c r="C70" s="7" t="s">
        <v>226</v>
      </c>
      <c r="D70" s="3">
        <v>100000</v>
      </c>
      <c r="E70" s="7" t="s">
        <v>0</v>
      </c>
      <c r="F70" s="3">
        <v>0</v>
      </c>
      <c r="G70" s="3">
        <v>0</v>
      </c>
      <c r="H70" s="3">
        <v>0</v>
      </c>
    </row>
    <row r="71" spans="1:8">
      <c r="A71" s="64" t="s">
        <v>38</v>
      </c>
      <c r="B71" s="2" t="s">
        <v>39</v>
      </c>
      <c r="C71" s="7" t="s">
        <v>226</v>
      </c>
      <c r="D71" s="3">
        <v>100000</v>
      </c>
      <c r="E71" s="7" t="s">
        <v>0</v>
      </c>
      <c r="F71" s="3">
        <v>0</v>
      </c>
      <c r="G71" s="3">
        <v>0</v>
      </c>
      <c r="H71" s="3">
        <v>0</v>
      </c>
    </row>
    <row r="72" spans="1:8">
      <c r="A72" s="64" t="s">
        <v>46</v>
      </c>
      <c r="B72" s="2" t="s">
        <v>47</v>
      </c>
      <c r="C72" s="7" t="s">
        <v>226</v>
      </c>
      <c r="D72" s="3">
        <v>0</v>
      </c>
      <c r="E72" s="7" t="s">
        <v>0</v>
      </c>
      <c r="F72" s="3">
        <v>0</v>
      </c>
      <c r="G72" s="3">
        <v>0</v>
      </c>
      <c r="H72" s="3">
        <v>0</v>
      </c>
    </row>
    <row r="73" spans="1:8">
      <c r="A73" s="64" t="s">
        <v>52</v>
      </c>
      <c r="B73" s="2" t="s">
        <v>53</v>
      </c>
      <c r="C73" s="7" t="s">
        <v>226</v>
      </c>
      <c r="D73" s="3">
        <v>0</v>
      </c>
      <c r="E73" s="7" t="s">
        <v>0</v>
      </c>
      <c r="F73" s="3">
        <v>0</v>
      </c>
      <c r="G73" s="3">
        <v>0</v>
      </c>
      <c r="H73" s="3">
        <v>0</v>
      </c>
    </row>
    <row r="74" spans="1:8">
      <c r="A74" s="63" t="s">
        <v>112</v>
      </c>
      <c r="B74" s="6" t="s">
        <v>113</v>
      </c>
      <c r="C74" s="5" t="s">
        <v>226</v>
      </c>
      <c r="D74" s="1">
        <f>D75</f>
        <v>0</v>
      </c>
      <c r="E74" s="5" t="s">
        <v>0</v>
      </c>
      <c r="F74" s="146">
        <f>F75</f>
        <v>0</v>
      </c>
      <c r="G74" s="146">
        <f>G75</f>
        <v>0</v>
      </c>
      <c r="H74" s="1">
        <f>H75</f>
        <v>0</v>
      </c>
    </row>
    <row r="75" spans="1:8">
      <c r="A75" s="46" t="s">
        <v>114</v>
      </c>
      <c r="B75" s="11" t="s">
        <v>113</v>
      </c>
      <c r="C75" s="13" t="s">
        <v>226</v>
      </c>
      <c r="D75" s="12">
        <v>0</v>
      </c>
      <c r="E75" s="13" t="s">
        <v>0</v>
      </c>
      <c r="F75" s="360">
        <v>0</v>
      </c>
      <c r="G75" s="360">
        <v>0</v>
      </c>
      <c r="H75" s="12">
        <v>0</v>
      </c>
    </row>
    <row r="76" spans="1:8">
      <c r="A76" s="62" t="s">
        <v>289</v>
      </c>
      <c r="B76" s="8" t="s">
        <v>290</v>
      </c>
      <c r="C76" s="10"/>
      <c r="D76" s="9">
        <f>D77+D79</f>
        <v>4760000</v>
      </c>
      <c r="E76" s="10" t="s">
        <v>0</v>
      </c>
      <c r="F76" s="145">
        <f>F77+F79</f>
        <v>200000</v>
      </c>
      <c r="G76" s="145">
        <f>G77+G79</f>
        <v>0</v>
      </c>
      <c r="H76" s="9">
        <f>H77+H79</f>
        <v>0</v>
      </c>
    </row>
    <row r="77" spans="1:8">
      <c r="A77" s="63" t="s">
        <v>34</v>
      </c>
      <c r="B77" s="6" t="s">
        <v>35</v>
      </c>
      <c r="C77" s="5" t="s">
        <v>226</v>
      </c>
      <c r="D77" s="1">
        <f>D78</f>
        <v>60000</v>
      </c>
      <c r="E77" s="5" t="s">
        <v>0</v>
      </c>
      <c r="F77" s="146">
        <f t="shared" ref="F77:G77" si="10">F78</f>
        <v>100000</v>
      </c>
      <c r="G77" s="146">
        <f t="shared" si="10"/>
        <v>0</v>
      </c>
      <c r="H77" s="1">
        <f>H78</f>
        <v>0</v>
      </c>
    </row>
    <row r="78" spans="1:8">
      <c r="A78" s="64" t="s">
        <v>36</v>
      </c>
      <c r="B78" s="2" t="s">
        <v>37</v>
      </c>
      <c r="C78" s="7" t="s">
        <v>226</v>
      </c>
      <c r="D78" s="3">
        <v>60000</v>
      </c>
      <c r="E78" s="7" t="s">
        <v>0</v>
      </c>
      <c r="F78" s="3">
        <v>100000</v>
      </c>
      <c r="G78" s="3">
        <v>0</v>
      </c>
      <c r="H78" s="3">
        <v>0</v>
      </c>
    </row>
    <row r="79" spans="1:8">
      <c r="A79" s="63" t="s">
        <v>112</v>
      </c>
      <c r="B79" s="6" t="s">
        <v>113</v>
      </c>
      <c r="C79" s="5" t="s">
        <v>226</v>
      </c>
      <c r="D79" s="1">
        <f>D80</f>
        <v>4700000</v>
      </c>
      <c r="E79" s="5" t="s">
        <v>0</v>
      </c>
      <c r="F79" s="146">
        <f>F80</f>
        <v>100000</v>
      </c>
      <c r="G79" s="146">
        <f>G80</f>
        <v>0</v>
      </c>
      <c r="H79" s="1">
        <f>H80</f>
        <v>0</v>
      </c>
    </row>
    <row r="80" spans="1:8">
      <c r="A80" s="46" t="s">
        <v>114</v>
      </c>
      <c r="B80" s="11" t="s">
        <v>113</v>
      </c>
      <c r="C80" s="13" t="s">
        <v>226</v>
      </c>
      <c r="D80" s="12">
        <v>4700000</v>
      </c>
      <c r="E80" s="13" t="s">
        <v>0</v>
      </c>
      <c r="F80" s="360">
        <v>100000</v>
      </c>
      <c r="G80" s="360">
        <v>0</v>
      </c>
      <c r="H80" s="12">
        <v>0</v>
      </c>
    </row>
    <row r="81" spans="1:8">
      <c r="A81" s="62" t="s">
        <v>101</v>
      </c>
      <c r="B81" s="8" t="s">
        <v>102</v>
      </c>
      <c r="C81" s="10"/>
      <c r="D81" s="25">
        <f>D82+D85+D89+D97+D100</f>
        <v>652000</v>
      </c>
      <c r="E81" s="10" t="s">
        <v>216</v>
      </c>
      <c r="F81" s="145">
        <f t="shared" ref="F81:G81" si="11">F82+F85+F89+F97+F100+F103</f>
        <v>579000</v>
      </c>
      <c r="G81" s="145">
        <f t="shared" si="11"/>
        <v>579000</v>
      </c>
      <c r="H81" s="25">
        <f>H82+H85+H89+H97+H100+H103</f>
        <v>579000</v>
      </c>
    </row>
    <row r="82" spans="1:8">
      <c r="A82" s="63" t="s">
        <v>16</v>
      </c>
      <c r="B82" s="6" t="s">
        <v>17</v>
      </c>
      <c r="C82" s="5" t="s">
        <v>225</v>
      </c>
      <c r="D82" s="117">
        <f>D83+D84</f>
        <v>10000</v>
      </c>
      <c r="E82" s="5" t="s">
        <v>216</v>
      </c>
      <c r="F82" s="146">
        <f>F83+F84</f>
        <v>10000</v>
      </c>
      <c r="G82" s="146">
        <f>G83+G84</f>
        <v>10000</v>
      </c>
      <c r="H82" s="117">
        <f>H83+H84</f>
        <v>10000</v>
      </c>
    </row>
    <row r="83" spans="1:8">
      <c r="A83" s="102" t="s">
        <v>18</v>
      </c>
      <c r="B83" s="103" t="s">
        <v>19</v>
      </c>
      <c r="C83" s="110" t="s">
        <v>225</v>
      </c>
      <c r="D83" s="105">
        <v>5000</v>
      </c>
      <c r="E83" s="110" t="s">
        <v>216</v>
      </c>
      <c r="F83" s="361">
        <v>5000</v>
      </c>
      <c r="G83" s="361">
        <v>5000</v>
      </c>
      <c r="H83" s="105">
        <v>5000</v>
      </c>
    </row>
    <row r="84" spans="1:8">
      <c r="A84" s="102" t="s">
        <v>22</v>
      </c>
      <c r="B84" s="103" t="s">
        <v>23</v>
      </c>
      <c r="C84" s="110" t="s">
        <v>225</v>
      </c>
      <c r="D84" s="105">
        <v>5000</v>
      </c>
      <c r="E84" s="110" t="s">
        <v>216</v>
      </c>
      <c r="F84" s="361">
        <v>5000</v>
      </c>
      <c r="G84" s="361">
        <v>5000</v>
      </c>
      <c r="H84" s="105">
        <v>5000</v>
      </c>
    </row>
    <row r="85" spans="1:8">
      <c r="A85" s="63" t="s">
        <v>24</v>
      </c>
      <c r="B85" s="6" t="s">
        <v>25</v>
      </c>
      <c r="C85" s="5" t="s">
        <v>225</v>
      </c>
      <c r="D85" s="117">
        <f>D86+D87+D88</f>
        <v>47000</v>
      </c>
      <c r="E85" s="5" t="s">
        <v>216</v>
      </c>
      <c r="F85" s="146">
        <f>F86+F87+F88</f>
        <v>47000</v>
      </c>
      <c r="G85" s="146">
        <f>G86+G87+G88</f>
        <v>47000</v>
      </c>
      <c r="H85" s="117">
        <f>H86+H87+H88</f>
        <v>47000</v>
      </c>
    </row>
    <row r="86" spans="1:8">
      <c r="A86" s="102" t="s">
        <v>26</v>
      </c>
      <c r="B86" s="103" t="s">
        <v>27</v>
      </c>
      <c r="C86" s="110" t="s">
        <v>225</v>
      </c>
      <c r="D86" s="105">
        <v>12000</v>
      </c>
      <c r="E86" s="110" t="s">
        <v>216</v>
      </c>
      <c r="F86" s="361">
        <v>12000</v>
      </c>
      <c r="G86" s="361">
        <v>12000</v>
      </c>
      <c r="H86" s="105">
        <v>12000</v>
      </c>
    </row>
    <row r="87" spans="1:8">
      <c r="A87" s="102" t="s">
        <v>28</v>
      </c>
      <c r="B87" s="103" t="s">
        <v>29</v>
      </c>
      <c r="C87" s="110" t="s">
        <v>225</v>
      </c>
      <c r="D87" s="105">
        <v>25000</v>
      </c>
      <c r="E87" s="110" t="s">
        <v>216</v>
      </c>
      <c r="F87" s="361">
        <v>25000</v>
      </c>
      <c r="G87" s="361">
        <v>25000</v>
      </c>
      <c r="H87" s="105">
        <v>25000</v>
      </c>
    </row>
    <row r="88" spans="1:8">
      <c r="A88" s="102" t="s">
        <v>32</v>
      </c>
      <c r="B88" s="103" t="s">
        <v>33</v>
      </c>
      <c r="C88" s="110" t="s">
        <v>225</v>
      </c>
      <c r="D88" s="105">
        <v>10000</v>
      </c>
      <c r="E88" s="110" t="s">
        <v>216</v>
      </c>
      <c r="F88" s="361">
        <v>10000</v>
      </c>
      <c r="G88" s="361">
        <v>10000</v>
      </c>
      <c r="H88" s="105">
        <v>10000</v>
      </c>
    </row>
    <row r="89" spans="1:8">
      <c r="A89" s="63" t="s">
        <v>34</v>
      </c>
      <c r="B89" s="6" t="s">
        <v>35</v>
      </c>
      <c r="C89" s="5" t="s">
        <v>225</v>
      </c>
      <c r="D89" s="117">
        <f>D90+D91+D92+D93+D94+D95+D96</f>
        <v>545000</v>
      </c>
      <c r="E89" s="5" t="s">
        <v>216</v>
      </c>
      <c r="F89" s="146">
        <f>F90+F91+F92+F93+F94+F95+F96</f>
        <v>472000</v>
      </c>
      <c r="G89" s="146">
        <f>G90+G91+G92+G93+G94+G95+G96</f>
        <v>472000</v>
      </c>
      <c r="H89" s="117">
        <f>H90+H91+H92+H93+H94+H95+H96</f>
        <v>472000</v>
      </c>
    </row>
    <row r="90" spans="1:8">
      <c r="A90" s="102" t="s">
        <v>36</v>
      </c>
      <c r="B90" s="103" t="s">
        <v>37</v>
      </c>
      <c r="C90" s="110" t="s">
        <v>225</v>
      </c>
      <c r="D90" s="105">
        <v>100000</v>
      </c>
      <c r="E90" s="110" t="s">
        <v>216</v>
      </c>
      <c r="F90" s="361">
        <v>100000</v>
      </c>
      <c r="G90" s="361">
        <v>100000</v>
      </c>
      <c r="H90" s="105">
        <v>100000</v>
      </c>
    </row>
    <row r="91" spans="1:8">
      <c r="A91" s="102" t="s">
        <v>38</v>
      </c>
      <c r="B91" s="103" t="s">
        <v>39</v>
      </c>
      <c r="C91" s="110" t="s">
        <v>225</v>
      </c>
      <c r="D91" s="105">
        <v>300000</v>
      </c>
      <c r="E91" s="110" t="s">
        <v>216</v>
      </c>
      <c r="F91" s="361">
        <v>227000</v>
      </c>
      <c r="G91" s="361">
        <v>227000</v>
      </c>
      <c r="H91" s="105">
        <v>227000</v>
      </c>
    </row>
    <row r="92" spans="1:8">
      <c r="A92" s="102" t="s">
        <v>40</v>
      </c>
      <c r="B92" s="111" t="s">
        <v>41</v>
      </c>
      <c r="C92" s="110" t="s">
        <v>225</v>
      </c>
      <c r="D92" s="105">
        <v>15000</v>
      </c>
      <c r="E92" s="110" t="s">
        <v>216</v>
      </c>
      <c r="F92" s="361">
        <v>15000</v>
      </c>
      <c r="G92" s="361">
        <v>15000</v>
      </c>
      <c r="H92" s="105">
        <v>15000</v>
      </c>
    </row>
    <row r="93" spans="1:8">
      <c r="A93" s="102" t="s">
        <v>42</v>
      </c>
      <c r="B93" s="111" t="s">
        <v>43</v>
      </c>
      <c r="C93" s="110" t="s">
        <v>225</v>
      </c>
      <c r="D93" s="105">
        <v>50000</v>
      </c>
      <c r="E93" s="110" t="s">
        <v>216</v>
      </c>
      <c r="F93" s="361">
        <v>50000</v>
      </c>
      <c r="G93" s="361">
        <v>50000</v>
      </c>
      <c r="H93" s="105">
        <v>50000</v>
      </c>
    </row>
    <row r="94" spans="1:8">
      <c r="A94" s="102" t="s">
        <v>46</v>
      </c>
      <c r="B94" s="111" t="s">
        <v>47</v>
      </c>
      <c r="C94" s="110" t="s">
        <v>225</v>
      </c>
      <c r="D94" s="105">
        <v>30000</v>
      </c>
      <c r="E94" s="110" t="s">
        <v>216</v>
      </c>
      <c r="F94" s="361">
        <v>30000</v>
      </c>
      <c r="G94" s="361">
        <v>30000</v>
      </c>
      <c r="H94" s="105">
        <v>30000</v>
      </c>
    </row>
    <row r="95" spans="1:8">
      <c r="A95" s="102" t="s">
        <v>48</v>
      </c>
      <c r="B95" s="111" t="s">
        <v>49</v>
      </c>
      <c r="C95" s="110" t="s">
        <v>225</v>
      </c>
      <c r="D95" s="362">
        <v>30000</v>
      </c>
      <c r="E95" s="110" t="s">
        <v>216</v>
      </c>
      <c r="F95" s="361">
        <v>30000</v>
      </c>
      <c r="G95" s="361">
        <v>30000</v>
      </c>
      <c r="H95" s="362">
        <v>30000</v>
      </c>
    </row>
    <row r="96" spans="1:8">
      <c r="A96" s="112" t="s">
        <v>52</v>
      </c>
      <c r="B96" s="113" t="s">
        <v>53</v>
      </c>
      <c r="C96" s="114" t="s">
        <v>225</v>
      </c>
      <c r="D96" s="363">
        <v>20000</v>
      </c>
      <c r="E96" s="114" t="s">
        <v>216</v>
      </c>
      <c r="F96" s="364">
        <v>20000</v>
      </c>
      <c r="G96" s="364">
        <v>20000</v>
      </c>
      <c r="H96" s="363">
        <v>20000</v>
      </c>
    </row>
    <row r="97" spans="1:8">
      <c r="A97" s="63" t="s">
        <v>57</v>
      </c>
      <c r="B97" s="6" t="s">
        <v>58</v>
      </c>
      <c r="C97" s="5" t="s">
        <v>225</v>
      </c>
      <c r="D97" s="117">
        <f>D98+D99</f>
        <v>10000</v>
      </c>
      <c r="E97" s="5" t="s">
        <v>216</v>
      </c>
      <c r="F97" s="146">
        <f>F98+F99</f>
        <v>10000</v>
      </c>
      <c r="G97" s="146">
        <f>G98+G99</f>
        <v>10000</v>
      </c>
      <c r="H97" s="117">
        <f>H98+H99</f>
        <v>10000</v>
      </c>
    </row>
    <row r="98" spans="1:8">
      <c r="A98" s="102" t="s">
        <v>67</v>
      </c>
      <c r="B98" s="103" t="s">
        <v>68</v>
      </c>
      <c r="C98" s="114" t="s">
        <v>225</v>
      </c>
      <c r="D98" s="363">
        <v>5000</v>
      </c>
      <c r="E98" s="114" t="s">
        <v>216</v>
      </c>
      <c r="F98" s="364">
        <v>5000</v>
      </c>
      <c r="G98" s="364">
        <v>5000</v>
      </c>
      <c r="H98" s="363">
        <v>5000</v>
      </c>
    </row>
    <row r="99" spans="1:8">
      <c r="A99" s="102" t="s">
        <v>69</v>
      </c>
      <c r="B99" s="103" t="s">
        <v>58</v>
      </c>
      <c r="C99" s="114" t="s">
        <v>225</v>
      </c>
      <c r="D99" s="363">
        <v>5000</v>
      </c>
      <c r="E99" s="114" t="s">
        <v>216</v>
      </c>
      <c r="F99" s="364">
        <v>5000</v>
      </c>
      <c r="G99" s="364">
        <v>5000</v>
      </c>
      <c r="H99" s="363">
        <v>5000</v>
      </c>
    </row>
    <row r="100" spans="1:8">
      <c r="A100" s="63" t="s">
        <v>70</v>
      </c>
      <c r="B100" s="6" t="s">
        <v>71</v>
      </c>
      <c r="C100" s="5" t="s">
        <v>225</v>
      </c>
      <c r="D100" s="365">
        <f>D101+D102</f>
        <v>40000</v>
      </c>
      <c r="E100" s="5" t="s">
        <v>216</v>
      </c>
      <c r="F100" s="146">
        <f t="shared" ref="F100:H100" si="12">F101+F102</f>
        <v>40000</v>
      </c>
      <c r="G100" s="146">
        <f t="shared" si="12"/>
        <v>40000</v>
      </c>
      <c r="H100" s="365">
        <f t="shared" si="12"/>
        <v>40000</v>
      </c>
    </row>
    <row r="101" spans="1:8">
      <c r="A101" s="102" t="s">
        <v>74</v>
      </c>
      <c r="B101" s="103" t="s">
        <v>75</v>
      </c>
      <c r="C101" s="104" t="s">
        <v>225</v>
      </c>
      <c r="D101" s="105">
        <v>20000</v>
      </c>
      <c r="E101" s="104" t="s">
        <v>216</v>
      </c>
      <c r="F101" s="105">
        <v>20000</v>
      </c>
      <c r="G101" s="105">
        <v>20000</v>
      </c>
      <c r="H101" s="105">
        <v>20000</v>
      </c>
    </row>
    <row r="102" spans="1:8">
      <c r="A102" s="102" t="s">
        <v>76</v>
      </c>
      <c r="B102" s="103" t="s">
        <v>77</v>
      </c>
      <c r="C102" s="104" t="s">
        <v>225</v>
      </c>
      <c r="D102" s="105">
        <v>20000</v>
      </c>
      <c r="E102" s="104" t="s">
        <v>216</v>
      </c>
      <c r="F102" s="105">
        <v>20000</v>
      </c>
      <c r="G102" s="105">
        <v>20000</v>
      </c>
      <c r="H102" s="105">
        <v>20000</v>
      </c>
    </row>
    <row r="103" spans="1:8">
      <c r="A103" s="130">
        <v>-422</v>
      </c>
      <c r="B103" s="6" t="s">
        <v>89</v>
      </c>
      <c r="C103" s="131" t="s">
        <v>225</v>
      </c>
      <c r="D103" s="3">
        <f>SUM(D104)</f>
        <v>0</v>
      </c>
      <c r="E103" s="132">
        <v>43</v>
      </c>
      <c r="F103" s="366">
        <f t="shared" ref="F103:H103" si="13">SUM(F104)</f>
        <v>0</v>
      </c>
      <c r="G103" s="366">
        <f t="shared" si="13"/>
        <v>0</v>
      </c>
      <c r="H103" s="366">
        <f t="shared" si="13"/>
        <v>0</v>
      </c>
    </row>
    <row r="104" spans="1:8">
      <c r="A104" s="135">
        <v>4227</v>
      </c>
      <c r="B104" s="133" t="s">
        <v>172</v>
      </c>
      <c r="C104" s="134" t="s">
        <v>225</v>
      </c>
      <c r="D104" s="367">
        <v>0</v>
      </c>
      <c r="E104" s="134" t="s">
        <v>216</v>
      </c>
      <c r="F104" s="368">
        <v>0</v>
      </c>
      <c r="G104" s="368">
        <v>0</v>
      </c>
      <c r="H104" s="367">
        <v>0</v>
      </c>
    </row>
    <row r="105" spans="1:8">
      <c r="A105" s="62" t="s">
        <v>107</v>
      </c>
      <c r="B105" s="8" t="s">
        <v>108</v>
      </c>
      <c r="C105" s="10"/>
      <c r="D105" s="9">
        <f t="shared" ref="D105:H106" si="14">D106</f>
        <v>210000</v>
      </c>
      <c r="E105" s="10" t="s">
        <v>216</v>
      </c>
      <c r="F105" s="145">
        <f t="shared" si="14"/>
        <v>210000</v>
      </c>
      <c r="G105" s="145">
        <f t="shared" si="14"/>
        <v>210000</v>
      </c>
      <c r="H105" s="9">
        <f t="shared" si="14"/>
        <v>210000</v>
      </c>
    </row>
    <row r="106" spans="1:8">
      <c r="A106" s="63" t="s">
        <v>34</v>
      </c>
      <c r="B106" s="6" t="s">
        <v>35</v>
      </c>
      <c r="C106" s="5" t="s">
        <v>224</v>
      </c>
      <c r="D106" s="1">
        <f t="shared" si="14"/>
        <v>210000</v>
      </c>
      <c r="E106" s="5" t="s">
        <v>216</v>
      </c>
      <c r="F106" s="146">
        <f t="shared" si="14"/>
        <v>210000</v>
      </c>
      <c r="G106" s="146">
        <f t="shared" si="14"/>
        <v>210000</v>
      </c>
      <c r="H106" s="1">
        <f t="shared" si="14"/>
        <v>210000</v>
      </c>
    </row>
    <row r="107" spans="1:8">
      <c r="A107" s="102" t="s">
        <v>44</v>
      </c>
      <c r="B107" s="103" t="s">
        <v>45</v>
      </c>
      <c r="C107" s="104" t="s">
        <v>224</v>
      </c>
      <c r="D107" s="105">
        <v>210000</v>
      </c>
      <c r="E107" s="104" t="s">
        <v>216</v>
      </c>
      <c r="F107" s="105">
        <v>210000</v>
      </c>
      <c r="G107" s="105">
        <v>210000</v>
      </c>
      <c r="H107" s="105">
        <v>210000</v>
      </c>
    </row>
    <row r="108" spans="1:8">
      <c r="A108" s="62" t="s">
        <v>110</v>
      </c>
      <c r="B108" s="8" t="s">
        <v>111</v>
      </c>
      <c r="C108" s="10"/>
      <c r="D108" s="9">
        <f t="shared" ref="D108:H109" si="15">D109</f>
        <v>713000</v>
      </c>
      <c r="E108" s="10" t="s">
        <v>216</v>
      </c>
      <c r="F108" s="145">
        <f t="shared" si="15"/>
        <v>763000</v>
      </c>
      <c r="G108" s="145">
        <f t="shared" si="15"/>
        <v>763000</v>
      </c>
      <c r="H108" s="9">
        <f t="shared" si="15"/>
        <v>763000</v>
      </c>
    </row>
    <row r="109" spans="1:8">
      <c r="A109" s="63" t="s">
        <v>112</v>
      </c>
      <c r="B109" s="6" t="s">
        <v>113</v>
      </c>
      <c r="C109" s="5" t="s">
        <v>226</v>
      </c>
      <c r="D109" s="1">
        <f t="shared" si="15"/>
        <v>713000</v>
      </c>
      <c r="E109" s="5" t="s">
        <v>216</v>
      </c>
      <c r="F109" s="146">
        <f t="shared" si="15"/>
        <v>763000</v>
      </c>
      <c r="G109" s="146">
        <f t="shared" si="15"/>
        <v>763000</v>
      </c>
      <c r="H109" s="1">
        <f t="shared" si="15"/>
        <v>763000</v>
      </c>
    </row>
    <row r="110" spans="1:8">
      <c r="A110" s="102" t="s">
        <v>114</v>
      </c>
      <c r="B110" s="103" t="s">
        <v>113</v>
      </c>
      <c r="C110" s="104" t="s">
        <v>226</v>
      </c>
      <c r="D110" s="105">
        <v>713000</v>
      </c>
      <c r="E110" s="104" t="s">
        <v>216</v>
      </c>
      <c r="F110" s="105">
        <v>763000</v>
      </c>
      <c r="G110" s="105">
        <v>763000</v>
      </c>
      <c r="H110" s="105">
        <v>763000</v>
      </c>
    </row>
    <row r="111" spans="1:8">
      <c r="A111" s="62" t="s">
        <v>217</v>
      </c>
      <c r="B111" s="26" t="s">
        <v>218</v>
      </c>
      <c r="C111" s="10"/>
      <c r="D111" s="9">
        <f>D112+D114</f>
        <v>425000</v>
      </c>
      <c r="E111" s="10" t="s">
        <v>216</v>
      </c>
      <c r="F111" s="145">
        <f t="shared" ref="F111:G111" si="16">F112+F114</f>
        <v>475000</v>
      </c>
      <c r="G111" s="145">
        <f t="shared" si="16"/>
        <v>475000</v>
      </c>
      <c r="H111" s="9">
        <f>H112+H114</f>
        <v>475000</v>
      </c>
    </row>
    <row r="112" spans="1:8">
      <c r="A112" s="63" t="s">
        <v>176</v>
      </c>
      <c r="B112" s="14" t="s">
        <v>177</v>
      </c>
      <c r="C112" s="5" t="s">
        <v>224</v>
      </c>
      <c r="D112" s="1">
        <f t="shared" ref="D112:H112" si="17">D113</f>
        <v>125000</v>
      </c>
      <c r="E112" s="5" t="s">
        <v>216</v>
      </c>
      <c r="F112" s="146">
        <f t="shared" si="17"/>
        <v>100000</v>
      </c>
      <c r="G112" s="146">
        <f t="shared" si="17"/>
        <v>100000</v>
      </c>
      <c r="H112" s="1">
        <f t="shared" si="17"/>
        <v>100000</v>
      </c>
    </row>
    <row r="113" spans="1:8">
      <c r="A113" s="102" t="s">
        <v>178</v>
      </c>
      <c r="B113" s="115" t="s">
        <v>179</v>
      </c>
      <c r="C113" s="104" t="s">
        <v>224</v>
      </c>
      <c r="D113" s="105">
        <v>125000</v>
      </c>
      <c r="E113" s="104" t="s">
        <v>216</v>
      </c>
      <c r="F113" s="105">
        <v>100000</v>
      </c>
      <c r="G113" s="105">
        <v>100000</v>
      </c>
      <c r="H113" s="105">
        <v>100000</v>
      </c>
    </row>
    <row r="114" spans="1:8">
      <c r="A114" s="63" t="s">
        <v>127</v>
      </c>
      <c r="B114" s="14" t="s">
        <v>128</v>
      </c>
      <c r="C114" s="5" t="s">
        <v>224</v>
      </c>
      <c r="D114" s="1">
        <f>D115</f>
        <v>300000</v>
      </c>
      <c r="E114" s="5" t="s">
        <v>216</v>
      </c>
      <c r="F114" s="146">
        <f>F115</f>
        <v>375000</v>
      </c>
      <c r="G114" s="146">
        <f>G115</f>
        <v>375000</v>
      </c>
      <c r="H114" s="1">
        <f>H115</f>
        <v>375000</v>
      </c>
    </row>
    <row r="115" spans="1:8">
      <c r="A115" s="112">
        <v>4511</v>
      </c>
      <c r="B115" s="116" t="s">
        <v>219</v>
      </c>
      <c r="C115" s="104" t="s">
        <v>224</v>
      </c>
      <c r="D115" s="105">
        <v>300000</v>
      </c>
      <c r="E115" s="104" t="s">
        <v>216</v>
      </c>
      <c r="F115" s="105">
        <v>375000</v>
      </c>
      <c r="G115" s="105">
        <v>375000</v>
      </c>
      <c r="H115" s="105">
        <v>375000</v>
      </c>
    </row>
    <row r="116" spans="1:8">
      <c r="A116" s="65" t="s">
        <v>110</v>
      </c>
      <c r="B116" s="34" t="s">
        <v>111</v>
      </c>
      <c r="C116" s="35"/>
      <c r="D116" s="369">
        <f t="shared" ref="D116:H117" si="18">D117</f>
        <v>975000</v>
      </c>
      <c r="E116" s="35" t="s">
        <v>273</v>
      </c>
      <c r="F116" s="370">
        <f t="shared" si="18"/>
        <v>975000</v>
      </c>
      <c r="G116" s="370">
        <f t="shared" si="18"/>
        <v>975000</v>
      </c>
      <c r="H116" s="369">
        <f t="shared" si="18"/>
        <v>975000</v>
      </c>
    </row>
    <row r="117" spans="1:8">
      <c r="A117" s="66" t="s">
        <v>112</v>
      </c>
      <c r="B117" s="32" t="s">
        <v>113</v>
      </c>
      <c r="C117" s="33" t="s">
        <v>226</v>
      </c>
      <c r="D117" s="365">
        <f t="shared" si="18"/>
        <v>975000</v>
      </c>
      <c r="E117" s="33" t="s">
        <v>273</v>
      </c>
      <c r="F117" s="371">
        <f t="shared" si="18"/>
        <v>975000</v>
      </c>
      <c r="G117" s="371">
        <f t="shared" si="18"/>
        <v>975000</v>
      </c>
      <c r="H117" s="365">
        <f t="shared" si="18"/>
        <v>975000</v>
      </c>
    </row>
    <row r="118" spans="1:8">
      <c r="A118" s="102" t="s">
        <v>114</v>
      </c>
      <c r="B118" s="103" t="s">
        <v>113</v>
      </c>
      <c r="C118" s="104" t="s">
        <v>226</v>
      </c>
      <c r="D118" s="105">
        <v>975000</v>
      </c>
      <c r="E118" s="104" t="s">
        <v>273</v>
      </c>
      <c r="F118" s="105">
        <v>975000</v>
      </c>
      <c r="G118" s="105">
        <v>975000</v>
      </c>
      <c r="H118" s="105">
        <v>975000</v>
      </c>
    </row>
    <row r="119" spans="1:8">
      <c r="A119" s="62" t="s">
        <v>217</v>
      </c>
      <c r="B119" s="26" t="s">
        <v>218</v>
      </c>
      <c r="C119" s="10"/>
      <c r="D119" s="9">
        <f t="shared" ref="D119:H120" si="19">D120</f>
        <v>200000</v>
      </c>
      <c r="E119" s="10" t="s">
        <v>273</v>
      </c>
      <c r="F119" s="145">
        <f t="shared" si="19"/>
        <v>100000</v>
      </c>
      <c r="G119" s="145">
        <f t="shared" si="19"/>
        <v>100000</v>
      </c>
      <c r="H119" s="9">
        <f t="shared" si="19"/>
        <v>100000</v>
      </c>
    </row>
    <row r="120" spans="1:8">
      <c r="A120" s="63" t="s">
        <v>176</v>
      </c>
      <c r="B120" s="14" t="s">
        <v>177</v>
      </c>
      <c r="C120" s="5" t="s">
        <v>224</v>
      </c>
      <c r="D120" s="1">
        <f t="shared" si="19"/>
        <v>200000</v>
      </c>
      <c r="E120" s="5" t="s">
        <v>273</v>
      </c>
      <c r="F120" s="146">
        <f t="shared" si="19"/>
        <v>100000</v>
      </c>
      <c r="G120" s="146">
        <f t="shared" si="19"/>
        <v>100000</v>
      </c>
      <c r="H120" s="1">
        <f t="shared" si="19"/>
        <v>100000</v>
      </c>
    </row>
    <row r="121" spans="1:8">
      <c r="A121" s="102" t="s">
        <v>178</v>
      </c>
      <c r="B121" s="115" t="s">
        <v>179</v>
      </c>
      <c r="C121" s="104" t="s">
        <v>224</v>
      </c>
      <c r="D121" s="105">
        <v>200000</v>
      </c>
      <c r="E121" s="104" t="s">
        <v>273</v>
      </c>
      <c r="F121" s="105">
        <v>100000</v>
      </c>
      <c r="G121" s="105">
        <v>100000</v>
      </c>
      <c r="H121" s="105">
        <v>100000</v>
      </c>
    </row>
    <row r="122" spans="1:8">
      <c r="A122" s="62" t="s">
        <v>289</v>
      </c>
      <c r="B122" s="8" t="s">
        <v>290</v>
      </c>
      <c r="C122" s="10"/>
      <c r="D122" s="9">
        <f>D123+D125</f>
        <v>30155000</v>
      </c>
      <c r="E122" s="10" t="s">
        <v>292</v>
      </c>
      <c r="F122" s="145">
        <f>F123+F125</f>
        <v>0</v>
      </c>
      <c r="G122" s="145">
        <f>G123+G125</f>
        <v>0</v>
      </c>
      <c r="H122" s="9">
        <f>H123+H125</f>
        <v>0</v>
      </c>
    </row>
    <row r="123" spans="1:8">
      <c r="A123" s="63" t="s">
        <v>34</v>
      </c>
      <c r="B123" s="6" t="s">
        <v>35</v>
      </c>
      <c r="C123" s="5" t="s">
        <v>226</v>
      </c>
      <c r="D123" s="1">
        <f>D124</f>
        <v>155000</v>
      </c>
      <c r="E123" s="5" t="s">
        <v>292</v>
      </c>
      <c r="F123" s="146">
        <f t="shared" ref="F123:G123" si="20">F124</f>
        <v>0</v>
      </c>
      <c r="G123" s="146">
        <f t="shared" si="20"/>
        <v>0</v>
      </c>
      <c r="H123" s="1">
        <f>H124</f>
        <v>0</v>
      </c>
    </row>
    <row r="124" spans="1:8">
      <c r="A124" s="102" t="s">
        <v>36</v>
      </c>
      <c r="B124" s="103" t="s">
        <v>37</v>
      </c>
      <c r="C124" s="104" t="s">
        <v>226</v>
      </c>
      <c r="D124" s="105">
        <v>155000</v>
      </c>
      <c r="E124" s="104" t="s">
        <v>292</v>
      </c>
      <c r="F124" s="105">
        <v>0</v>
      </c>
      <c r="G124" s="105">
        <v>0</v>
      </c>
      <c r="H124" s="105">
        <v>0</v>
      </c>
    </row>
    <row r="125" spans="1:8">
      <c r="A125" s="63" t="s">
        <v>112</v>
      </c>
      <c r="B125" s="6" t="s">
        <v>113</v>
      </c>
      <c r="C125" s="5" t="s">
        <v>226</v>
      </c>
      <c r="D125" s="1">
        <f>D126</f>
        <v>30000000</v>
      </c>
      <c r="E125" s="5" t="s">
        <v>292</v>
      </c>
      <c r="F125" s="146">
        <f>F126</f>
        <v>0</v>
      </c>
      <c r="G125" s="146">
        <f>G126</f>
        <v>0</v>
      </c>
      <c r="H125" s="1">
        <f>H126</f>
        <v>0</v>
      </c>
    </row>
    <row r="126" spans="1:8">
      <c r="A126" s="102" t="s">
        <v>114</v>
      </c>
      <c r="B126" s="103" t="s">
        <v>113</v>
      </c>
      <c r="C126" s="104" t="s">
        <v>226</v>
      </c>
      <c r="D126" s="105">
        <v>30000000</v>
      </c>
      <c r="E126" s="104" t="s">
        <v>292</v>
      </c>
      <c r="F126" s="105">
        <v>0</v>
      </c>
      <c r="G126" s="105">
        <v>0</v>
      </c>
      <c r="H126" s="105">
        <v>0</v>
      </c>
    </row>
  </sheetData>
  <customSheetViews>
    <customSheetView guid="{DE360DA9-5353-4F03-95DA-9238CFBE39D8}" showPageBreaks="1" printArea="1" state="hidden" view="pageBreakPreview">
      <pane ySplit="13" topLeftCell="A91" activePane="bottomLeft" state="frozen"/>
      <selection pane="bottomLeft" activeCell="H7" sqref="H7"/>
      <rowBreaks count="3" manualBreakCount="3">
        <brk id="34" max="7" man="1"/>
        <brk id="69" max="7" man="1"/>
        <brk id="102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1"/>
      <headerFooter>
        <oddFooter>&amp;CZALIHE&amp;R&amp;P</oddFooter>
      </headerFooter>
    </customSheetView>
    <customSheetView guid="{4FFB33FE-6696-4144-BF99-378C5196B940}" showPageBreaks="1" printArea="1" state="hidden" view="pageBreakPreview">
      <pane ySplit="13" topLeftCell="A91" activePane="bottomLeft" state="frozen"/>
      <selection pane="bottomLeft" activeCell="H7" sqref="H7"/>
      <rowBreaks count="3" manualBreakCount="3">
        <brk id="34" max="7" man="1"/>
        <brk id="69" max="7" man="1"/>
        <brk id="102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2"/>
      <headerFooter>
        <oddFooter>&amp;CZALIHE&amp;R&amp;P</oddFooter>
      </headerFooter>
    </customSheetView>
    <customSheetView guid="{3D59341C-00F4-4635-AC4F-8988CF6BE637}" showPageBreaks="1" printArea="1" state="hidden" view="pageBreakPreview">
      <pane ySplit="13" topLeftCell="A91" activePane="bottomLeft" state="frozen"/>
      <selection pane="bottomLeft" activeCell="H7" sqref="H7"/>
      <rowBreaks count="3" manualBreakCount="3">
        <brk id="34" max="7" man="1"/>
        <brk id="69" max="7" man="1"/>
        <brk id="102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3"/>
      <headerFooter>
        <oddFooter>&amp;CZALIHE&amp;R&amp;P</oddFooter>
      </headerFooter>
    </customSheetView>
    <customSheetView guid="{5251AB89-31D9-4C6C-945A-13C9748C2E26}" showPageBreaks="1" printArea="1" state="hidden" view="pageBreakPreview">
      <pane ySplit="13" topLeftCell="A91" activePane="bottomLeft" state="frozen"/>
      <selection pane="bottomLeft" activeCell="H7" sqref="H7"/>
      <rowBreaks count="3" manualBreakCount="3">
        <brk id="34" max="7" man="1"/>
        <brk id="69" max="7" man="1"/>
        <brk id="102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4"/>
      <headerFooter>
        <oddFooter>&amp;CZALIHE&amp;R&amp;P</oddFooter>
      </headerFooter>
    </customSheetView>
    <customSheetView guid="{14A1FC8C-94B5-4B4E-9269-30661976D1D1}" showPageBreaks="1" printArea="1" state="hidden" view="pageBreakPreview">
      <pane ySplit="13" topLeftCell="A91" activePane="bottomLeft" state="frozen"/>
      <selection pane="bottomLeft" activeCell="H7" sqref="H7"/>
      <rowBreaks count="3" manualBreakCount="3">
        <brk id="34" max="7" man="1"/>
        <brk id="69" max="7" man="1"/>
        <brk id="102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5"/>
      <headerFooter>
        <oddFooter>&amp;CZALIHE&amp;R&amp;P</oddFooter>
      </headerFooter>
    </customSheetView>
    <customSheetView guid="{D0F51479-7B68-4FFC-8604-F0A17468B00E}" showPageBreaks="1" printArea="1" state="hidden" view="pageBreakPreview">
      <pane ySplit="13" topLeftCell="A91" activePane="bottomLeft" state="frozen"/>
      <selection pane="bottomLeft" activeCell="H7" sqref="H7"/>
      <rowBreaks count="3" manualBreakCount="3">
        <brk id="34" max="7" man="1"/>
        <brk id="69" max="7" man="1"/>
        <brk id="102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6"/>
      <headerFooter>
        <oddFooter>&amp;CZALIHE&amp;R&amp;P</oddFooter>
      </headerFooter>
    </customSheetView>
    <customSheetView guid="{0D7CE69A-AF67-471F-AE1C-92FEF35D1955}" showPageBreaks="1" printArea="1" state="hidden" view="pageBreakPreview">
      <pane ySplit="13" topLeftCell="A91" activePane="bottomLeft" state="frozen"/>
      <selection pane="bottomLeft" activeCell="H7" sqref="H7"/>
      <rowBreaks count="3" manualBreakCount="3">
        <brk id="34" max="7" man="1"/>
        <brk id="69" max="7" man="1"/>
        <brk id="102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7"/>
      <headerFooter>
        <oddFooter>&amp;CZALIHE&amp;R&amp;P</oddFooter>
      </headerFooter>
    </customSheetView>
    <customSheetView guid="{3EC3B099-A84F-48D2-A97E-B7686AB72BE7}" showPageBreaks="1" printArea="1" state="hidden" view="pageBreakPreview">
      <pane ySplit="13" topLeftCell="A91" activePane="bottomLeft" state="frozen"/>
      <selection pane="bottomLeft" activeCell="H7" sqref="H7"/>
      <rowBreaks count="3" manualBreakCount="3">
        <brk id="34" max="7" man="1"/>
        <brk id="69" max="7" man="1"/>
        <brk id="102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8"/>
      <headerFooter>
        <oddFooter>&amp;CZALIHE&amp;R&amp;P</oddFooter>
      </headerFooter>
    </customSheetView>
  </customSheetViews>
  <mergeCells count="2">
    <mergeCell ref="A13:H13"/>
    <mergeCell ref="A3:C12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9"/>
  <headerFooter>
    <oddFooter>&amp;CZALIHE&amp;R&amp;P</oddFooter>
  </headerFooter>
  <rowBreaks count="3" manualBreakCount="3">
    <brk id="34" max="7" man="1"/>
    <brk id="69" max="7" man="1"/>
    <brk id="10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5"/>
  <sheetViews>
    <sheetView zoomScale="110" zoomScaleNormal="110" zoomScaleSheetLayoutView="110" workbookViewId="0">
      <pane ySplit="12" topLeftCell="A13" activePane="bottomLeft" state="frozen"/>
      <selection pane="bottomLeft" activeCell="F3" sqref="F3:H3"/>
    </sheetView>
  </sheetViews>
  <sheetFormatPr defaultRowHeight="15"/>
  <cols>
    <col min="1" max="1" width="10.7109375" style="61" customWidth="1"/>
    <col min="2" max="2" width="50.5703125" customWidth="1"/>
    <col min="3" max="3" width="5.7109375" customWidth="1"/>
    <col min="4" max="4" width="14.7109375" customWidth="1"/>
    <col min="5" max="5" width="5.7109375" customWidth="1"/>
    <col min="6" max="8" width="16.7109375" customWidth="1"/>
    <col min="9" max="9" width="12.85546875" customWidth="1"/>
  </cols>
  <sheetData>
    <row r="1" spans="1:9" ht="30" customHeight="1">
      <c r="A1" s="76"/>
      <c r="B1" s="77"/>
      <c r="C1" s="78" t="s">
        <v>220</v>
      </c>
      <c r="D1" s="73" t="s">
        <v>302</v>
      </c>
      <c r="E1" s="78" t="s">
        <v>180</v>
      </c>
      <c r="F1" s="73" t="s">
        <v>398</v>
      </c>
      <c r="G1" s="73" t="s">
        <v>399</v>
      </c>
      <c r="H1" s="287" t="s">
        <v>400</v>
      </c>
    </row>
    <row r="2" spans="1:9" ht="25.5" customHeight="1">
      <c r="A2" s="79" t="s">
        <v>152</v>
      </c>
      <c r="B2" s="80" t="s">
        <v>153</v>
      </c>
      <c r="C2" s="81"/>
      <c r="D2" s="82">
        <f>D13+D58+D63</f>
        <v>4400000</v>
      </c>
      <c r="E2" s="81"/>
      <c r="F2" s="82">
        <f>F13+F58+F63</f>
        <v>2000000</v>
      </c>
      <c r="G2" s="82">
        <f>G13+G58+G63</f>
        <v>0</v>
      </c>
      <c r="H2" s="82">
        <f>H13+H58+H63</f>
        <v>0</v>
      </c>
    </row>
    <row r="3" spans="1:9" ht="15" customHeight="1">
      <c r="A3" s="1058"/>
      <c r="B3" s="1058"/>
      <c r="C3" s="1059"/>
      <c r="D3" s="21">
        <f>D13+D58+D63</f>
        <v>4400000</v>
      </c>
      <c r="E3" s="87">
        <v>11</v>
      </c>
      <c r="F3" s="21">
        <f t="shared" ref="F3:G3" si="0">F13+F58+F63</f>
        <v>2000000</v>
      </c>
      <c r="G3" s="21">
        <f t="shared" si="0"/>
        <v>0</v>
      </c>
      <c r="H3" s="21">
        <f>H13+H58+H63</f>
        <v>0</v>
      </c>
      <c r="I3" s="22"/>
    </row>
    <row r="4" spans="1:9">
      <c r="A4" s="1060"/>
      <c r="B4" s="1060"/>
      <c r="C4" s="1061"/>
      <c r="D4" s="21">
        <v>0</v>
      </c>
      <c r="E4" s="20">
        <v>12</v>
      </c>
      <c r="F4" s="21">
        <v>0</v>
      </c>
      <c r="G4" s="21">
        <v>0</v>
      </c>
      <c r="H4" s="21">
        <v>0</v>
      </c>
    </row>
    <row r="5" spans="1:9">
      <c r="A5" s="1060"/>
      <c r="B5" s="1060"/>
      <c r="C5" s="1061"/>
      <c r="D5" s="29">
        <f>D3+D4</f>
        <v>4400000</v>
      </c>
      <c r="E5" s="30" t="s">
        <v>267</v>
      </c>
      <c r="F5" s="29">
        <f>F3+F4</f>
        <v>2000000</v>
      </c>
      <c r="G5" s="29">
        <f>G3+G4</f>
        <v>0</v>
      </c>
      <c r="H5" s="29">
        <f>H3+H4</f>
        <v>0</v>
      </c>
    </row>
    <row r="6" spans="1:9">
      <c r="A6" s="1060"/>
      <c r="B6" s="1060"/>
      <c r="C6" s="1061"/>
      <c r="D6" s="21">
        <v>0</v>
      </c>
      <c r="E6" s="20" t="s">
        <v>216</v>
      </c>
      <c r="F6" s="21">
        <v>0</v>
      </c>
      <c r="G6" s="21">
        <v>0</v>
      </c>
      <c r="H6" s="21">
        <v>0</v>
      </c>
    </row>
    <row r="7" spans="1:9">
      <c r="A7" s="1060"/>
      <c r="B7" s="1060"/>
      <c r="C7" s="1061"/>
      <c r="D7" s="21">
        <v>0</v>
      </c>
      <c r="E7" s="20" t="s">
        <v>235</v>
      </c>
      <c r="F7" s="21">
        <v>0</v>
      </c>
      <c r="G7" s="21">
        <v>0</v>
      </c>
      <c r="H7" s="21">
        <v>0</v>
      </c>
    </row>
    <row r="8" spans="1:9">
      <c r="A8" s="1060"/>
      <c r="B8" s="1060"/>
      <c r="C8" s="1061"/>
      <c r="D8" s="21">
        <v>0</v>
      </c>
      <c r="E8" s="20" t="s">
        <v>264</v>
      </c>
      <c r="F8" s="21">
        <v>0</v>
      </c>
      <c r="G8" s="21">
        <v>0</v>
      </c>
      <c r="H8" s="21">
        <v>0</v>
      </c>
    </row>
    <row r="9" spans="1:9">
      <c r="A9" s="1060"/>
      <c r="B9" s="1060"/>
      <c r="C9" s="1061"/>
      <c r="D9" s="21">
        <v>0</v>
      </c>
      <c r="E9" s="20" t="s">
        <v>265</v>
      </c>
      <c r="F9" s="21">
        <v>0</v>
      </c>
      <c r="G9" s="21">
        <v>0</v>
      </c>
      <c r="H9" s="21">
        <v>0</v>
      </c>
    </row>
    <row r="10" spans="1:9">
      <c r="A10" s="1060"/>
      <c r="B10" s="1060"/>
      <c r="C10" s="1061"/>
      <c r="D10" s="21">
        <v>0</v>
      </c>
      <c r="E10" s="20" t="s">
        <v>234</v>
      </c>
      <c r="F10" s="21">
        <v>0</v>
      </c>
      <c r="G10" s="21">
        <v>0</v>
      </c>
      <c r="H10" s="21">
        <v>0</v>
      </c>
    </row>
    <row r="11" spans="1:9">
      <c r="A11" s="1072"/>
      <c r="B11" s="1072"/>
      <c r="C11" s="1073"/>
      <c r="D11" s="21">
        <v>0</v>
      </c>
      <c r="E11" s="20" t="s">
        <v>292</v>
      </c>
      <c r="F11" s="21">
        <v>0</v>
      </c>
      <c r="G11" s="21">
        <v>0</v>
      </c>
      <c r="H11" s="21">
        <v>0</v>
      </c>
    </row>
    <row r="12" spans="1:9" ht="25.5" customHeight="1">
      <c r="A12" s="1068" t="s">
        <v>231</v>
      </c>
      <c r="B12" s="1069"/>
      <c r="C12" s="1069"/>
      <c r="D12" s="1069"/>
      <c r="E12" s="1069"/>
      <c r="F12" s="1071"/>
      <c r="G12" s="1070"/>
      <c r="H12" s="1069"/>
    </row>
    <row r="13" spans="1:9">
      <c r="A13" s="62" t="s">
        <v>154</v>
      </c>
      <c r="B13" s="8" t="s">
        <v>155</v>
      </c>
      <c r="C13" s="10"/>
      <c r="D13" s="9">
        <f>D14+D18+D20+D23+D27+D33+D43+D50+D54</f>
        <v>4057000</v>
      </c>
      <c r="E13" s="10">
        <v>11</v>
      </c>
      <c r="F13" s="9">
        <f t="shared" ref="F13:G13" si="1">F14+F18+F20+F23+F27+F33+F43+F50+F54</f>
        <v>1800000</v>
      </c>
      <c r="G13" s="9">
        <f t="shared" si="1"/>
        <v>0</v>
      </c>
      <c r="H13" s="9">
        <f>H14+H18+H20+H23+H27+H33+H43+H50+H54</f>
        <v>0</v>
      </c>
    </row>
    <row r="14" spans="1:9">
      <c r="A14" s="63" t="s">
        <v>1</v>
      </c>
      <c r="B14" s="6" t="s">
        <v>2</v>
      </c>
      <c r="C14" s="5" t="s">
        <v>230</v>
      </c>
      <c r="D14" s="1">
        <f>D15+D16+D17</f>
        <v>2253000</v>
      </c>
      <c r="E14" s="5">
        <v>11</v>
      </c>
      <c r="F14" s="1">
        <f>F15+F16+F17</f>
        <v>691000</v>
      </c>
      <c r="G14" s="1">
        <f>G15+G16+G17</f>
        <v>0</v>
      </c>
      <c r="H14" s="1">
        <f>H15+H16+H17</f>
        <v>0</v>
      </c>
    </row>
    <row r="15" spans="1:9">
      <c r="A15" s="64" t="s">
        <v>3</v>
      </c>
      <c r="B15" s="2" t="s">
        <v>4</v>
      </c>
      <c r="C15" s="7" t="s">
        <v>230</v>
      </c>
      <c r="D15" s="3">
        <v>2252000</v>
      </c>
      <c r="E15" s="7">
        <v>11</v>
      </c>
      <c r="F15" s="3">
        <v>690000</v>
      </c>
      <c r="G15" s="3">
        <v>0</v>
      </c>
      <c r="H15" s="3"/>
    </row>
    <row r="16" spans="1:9">
      <c r="A16" s="64" t="s">
        <v>149</v>
      </c>
      <c r="B16" s="2" t="s">
        <v>150</v>
      </c>
      <c r="C16" s="7" t="s">
        <v>230</v>
      </c>
      <c r="D16" s="3">
        <v>500</v>
      </c>
      <c r="E16" s="7">
        <v>11</v>
      </c>
      <c r="F16" s="3">
        <v>500</v>
      </c>
      <c r="G16" s="3">
        <v>0</v>
      </c>
      <c r="H16" s="3"/>
    </row>
    <row r="17" spans="1:8">
      <c r="A17" s="64" t="s">
        <v>5</v>
      </c>
      <c r="B17" s="2" t="s">
        <v>229</v>
      </c>
      <c r="C17" s="7" t="s">
        <v>230</v>
      </c>
      <c r="D17" s="3">
        <v>500</v>
      </c>
      <c r="E17" s="7" t="s">
        <v>0</v>
      </c>
      <c r="F17" s="3">
        <v>500</v>
      </c>
      <c r="G17" s="3">
        <v>0</v>
      </c>
      <c r="H17" s="3"/>
    </row>
    <row r="18" spans="1:8">
      <c r="A18" s="63" t="s">
        <v>7</v>
      </c>
      <c r="B18" s="6" t="s">
        <v>8</v>
      </c>
      <c r="C18" s="5" t="s">
        <v>230</v>
      </c>
      <c r="D18" s="1">
        <f>D19</f>
        <v>88000</v>
      </c>
      <c r="E18" s="5">
        <v>11</v>
      </c>
      <c r="F18" s="1">
        <f>F19</f>
        <v>9000</v>
      </c>
      <c r="G18" s="1">
        <f>G19</f>
        <v>0</v>
      </c>
      <c r="H18" s="1">
        <f>H19</f>
        <v>0</v>
      </c>
    </row>
    <row r="19" spans="1:8">
      <c r="A19" s="64" t="s">
        <v>9</v>
      </c>
      <c r="B19" s="2" t="s">
        <v>8</v>
      </c>
      <c r="C19" s="7" t="s">
        <v>230</v>
      </c>
      <c r="D19" s="3">
        <v>88000</v>
      </c>
      <c r="E19" s="7">
        <v>11</v>
      </c>
      <c r="F19" s="3">
        <v>9000</v>
      </c>
      <c r="G19" s="3">
        <v>0</v>
      </c>
      <c r="H19" s="3"/>
    </row>
    <row r="20" spans="1:8">
      <c r="A20" s="63" t="s">
        <v>10</v>
      </c>
      <c r="B20" s="6" t="s">
        <v>11</v>
      </c>
      <c r="C20" s="5" t="s">
        <v>230</v>
      </c>
      <c r="D20" s="1">
        <f>D21+D22</f>
        <v>388700</v>
      </c>
      <c r="E20" s="5">
        <v>11</v>
      </c>
      <c r="F20" s="1">
        <f>F21+F22</f>
        <v>120000</v>
      </c>
      <c r="G20" s="1">
        <f>G21+G22</f>
        <v>0</v>
      </c>
      <c r="H20" s="1">
        <f>H21+H22</f>
        <v>0</v>
      </c>
    </row>
    <row r="21" spans="1:8">
      <c r="A21" s="64" t="s">
        <v>12</v>
      </c>
      <c r="B21" s="2" t="s">
        <v>13</v>
      </c>
      <c r="C21" s="7" t="s">
        <v>230</v>
      </c>
      <c r="D21" s="3">
        <v>350200</v>
      </c>
      <c r="E21" s="7">
        <v>11</v>
      </c>
      <c r="F21" s="3">
        <v>107000</v>
      </c>
      <c r="G21" s="3">
        <v>0</v>
      </c>
      <c r="H21" s="3"/>
    </row>
    <row r="22" spans="1:8">
      <c r="A22" s="64" t="s">
        <v>14</v>
      </c>
      <c r="B22" s="2" t="s">
        <v>15</v>
      </c>
      <c r="C22" s="7" t="s">
        <v>230</v>
      </c>
      <c r="D22" s="3">
        <v>38500</v>
      </c>
      <c r="E22" s="7">
        <v>11</v>
      </c>
      <c r="F22" s="3">
        <v>13000</v>
      </c>
      <c r="G22" s="3">
        <v>0</v>
      </c>
      <c r="H22" s="3"/>
    </row>
    <row r="23" spans="1:8">
      <c r="A23" s="63" t="s">
        <v>16</v>
      </c>
      <c r="B23" s="6" t="s">
        <v>17</v>
      </c>
      <c r="C23" s="5" t="s">
        <v>230</v>
      </c>
      <c r="D23" s="1">
        <f>D24+D25+D26</f>
        <v>165800</v>
      </c>
      <c r="E23" s="5">
        <v>11</v>
      </c>
      <c r="F23" s="1">
        <f>F24+F25+F26</f>
        <v>135000</v>
      </c>
      <c r="G23" s="1">
        <f>G24+G25+G26</f>
        <v>0</v>
      </c>
      <c r="H23" s="1">
        <f>H24+H25+H26</f>
        <v>0</v>
      </c>
    </row>
    <row r="24" spans="1:8">
      <c r="A24" s="64" t="s">
        <v>18</v>
      </c>
      <c r="B24" s="2" t="s">
        <v>19</v>
      </c>
      <c r="C24" s="7" t="s">
        <v>230</v>
      </c>
      <c r="D24" s="3">
        <v>68000</v>
      </c>
      <c r="E24" s="7" t="s">
        <v>0</v>
      </c>
      <c r="F24" s="3">
        <v>50000</v>
      </c>
      <c r="G24" s="3">
        <v>0</v>
      </c>
      <c r="H24" s="3"/>
    </row>
    <row r="25" spans="1:8">
      <c r="A25" s="64" t="s">
        <v>20</v>
      </c>
      <c r="B25" s="2" t="s">
        <v>21</v>
      </c>
      <c r="C25" s="7" t="s">
        <v>230</v>
      </c>
      <c r="D25" s="3">
        <v>82800</v>
      </c>
      <c r="E25" s="7">
        <v>11</v>
      </c>
      <c r="F25" s="3">
        <v>30000</v>
      </c>
      <c r="G25" s="3">
        <v>0</v>
      </c>
      <c r="H25" s="3"/>
    </row>
    <row r="26" spans="1:8">
      <c r="A26" s="64" t="s">
        <v>22</v>
      </c>
      <c r="B26" s="2" t="s">
        <v>23</v>
      </c>
      <c r="C26" s="7" t="s">
        <v>230</v>
      </c>
      <c r="D26" s="3">
        <v>15000</v>
      </c>
      <c r="E26" s="7">
        <v>11</v>
      </c>
      <c r="F26" s="3">
        <v>55000</v>
      </c>
      <c r="G26" s="3">
        <v>0</v>
      </c>
      <c r="H26" s="3"/>
    </row>
    <row r="27" spans="1:8">
      <c r="A27" s="63" t="s">
        <v>24</v>
      </c>
      <c r="B27" s="6" t="s">
        <v>25</v>
      </c>
      <c r="C27" s="5" t="s">
        <v>230</v>
      </c>
      <c r="D27" s="1">
        <f>D28+D29+D30+D31+D32</f>
        <v>189200</v>
      </c>
      <c r="E27" s="5">
        <v>11</v>
      </c>
      <c r="F27" s="1">
        <f>F28+F29+F30+F31+F32</f>
        <v>126000</v>
      </c>
      <c r="G27" s="1">
        <f>G28+G29+G30+G31+G32</f>
        <v>0</v>
      </c>
      <c r="H27" s="1">
        <f>H28+H29+H30+H31+H32</f>
        <v>0</v>
      </c>
    </row>
    <row r="28" spans="1:8">
      <c r="A28" s="64" t="s">
        <v>26</v>
      </c>
      <c r="B28" s="2" t="s">
        <v>27</v>
      </c>
      <c r="C28" s="7" t="s">
        <v>230</v>
      </c>
      <c r="D28" s="3">
        <v>26600</v>
      </c>
      <c r="E28" s="7">
        <v>11</v>
      </c>
      <c r="F28" s="3">
        <v>25000</v>
      </c>
      <c r="G28" s="3">
        <v>0</v>
      </c>
      <c r="H28" s="3"/>
    </row>
    <row r="29" spans="1:8">
      <c r="A29" s="64" t="s">
        <v>28</v>
      </c>
      <c r="B29" s="2" t="s">
        <v>29</v>
      </c>
      <c r="C29" s="7" t="s">
        <v>230</v>
      </c>
      <c r="D29" s="3">
        <v>149000</v>
      </c>
      <c r="E29" s="7">
        <v>11</v>
      </c>
      <c r="F29" s="3">
        <v>90000</v>
      </c>
      <c r="G29" s="3">
        <v>0</v>
      </c>
      <c r="H29" s="3"/>
    </row>
    <row r="30" spans="1:8">
      <c r="A30" s="64" t="s">
        <v>30</v>
      </c>
      <c r="B30" s="2" t="s">
        <v>31</v>
      </c>
      <c r="C30" s="7" t="s">
        <v>230</v>
      </c>
      <c r="D30" s="3">
        <v>7600</v>
      </c>
      <c r="E30" s="7">
        <v>11</v>
      </c>
      <c r="F30" s="3">
        <v>7000</v>
      </c>
      <c r="G30" s="3">
        <v>0</v>
      </c>
      <c r="H30" s="3"/>
    </row>
    <row r="31" spans="1:8">
      <c r="A31" s="64" t="s">
        <v>32</v>
      </c>
      <c r="B31" s="2" t="s">
        <v>33</v>
      </c>
      <c r="C31" s="7" t="s">
        <v>230</v>
      </c>
      <c r="D31" s="3">
        <v>1000</v>
      </c>
      <c r="E31" s="7" t="s">
        <v>0</v>
      </c>
      <c r="F31" s="3">
        <v>1000</v>
      </c>
      <c r="G31" s="3">
        <v>0</v>
      </c>
      <c r="H31" s="3"/>
    </row>
    <row r="32" spans="1:8">
      <c r="A32" s="64" t="s">
        <v>103</v>
      </c>
      <c r="B32" s="2" t="s">
        <v>184</v>
      </c>
      <c r="C32" s="7" t="s">
        <v>230</v>
      </c>
      <c r="D32" s="3">
        <v>5000</v>
      </c>
      <c r="E32" s="7" t="s">
        <v>0</v>
      </c>
      <c r="F32" s="3">
        <v>3000</v>
      </c>
      <c r="G32" s="3">
        <v>0</v>
      </c>
      <c r="H32" s="3"/>
    </row>
    <row r="33" spans="1:8">
      <c r="A33" s="63" t="s">
        <v>34</v>
      </c>
      <c r="B33" s="6" t="s">
        <v>35</v>
      </c>
      <c r="C33" s="5" t="s">
        <v>230</v>
      </c>
      <c r="D33" s="1">
        <f>D34+D35+D36+D37+D38+D39+D40+D41+D42</f>
        <v>892400</v>
      </c>
      <c r="E33" s="5">
        <v>11</v>
      </c>
      <c r="F33" s="1">
        <f>F34+F35+F36+F37+F38+F39+F40+F41+F42</f>
        <v>424000</v>
      </c>
      <c r="G33" s="1">
        <f>G34+G35+G36+G37+G38+G39+G40+G41+G42</f>
        <v>0</v>
      </c>
      <c r="H33" s="1">
        <f>H34+H35+H36+H37+H38+H39+H40+H41+H42</f>
        <v>0</v>
      </c>
    </row>
    <row r="34" spans="1:8">
      <c r="A34" s="64" t="s">
        <v>36</v>
      </c>
      <c r="B34" s="2" t="s">
        <v>37</v>
      </c>
      <c r="C34" s="7" t="s">
        <v>230</v>
      </c>
      <c r="D34" s="3">
        <v>80000</v>
      </c>
      <c r="E34" s="7">
        <v>11</v>
      </c>
      <c r="F34" s="3">
        <v>30000</v>
      </c>
      <c r="G34" s="3">
        <v>0</v>
      </c>
      <c r="H34" s="3"/>
    </row>
    <row r="35" spans="1:8">
      <c r="A35" s="64" t="s">
        <v>38</v>
      </c>
      <c r="B35" s="2" t="s">
        <v>39</v>
      </c>
      <c r="C35" s="7" t="s">
        <v>230</v>
      </c>
      <c r="D35" s="3">
        <v>19000</v>
      </c>
      <c r="E35" s="7">
        <v>11</v>
      </c>
      <c r="F35" s="3">
        <v>20000</v>
      </c>
      <c r="G35" s="3">
        <v>0</v>
      </c>
      <c r="H35" s="3"/>
    </row>
    <row r="36" spans="1:8">
      <c r="A36" s="64" t="s">
        <v>40</v>
      </c>
      <c r="B36" s="2" t="s">
        <v>41</v>
      </c>
      <c r="C36" s="7" t="s">
        <v>230</v>
      </c>
      <c r="D36" s="3">
        <v>5000</v>
      </c>
      <c r="E36" s="7">
        <v>11</v>
      </c>
      <c r="F36" s="3">
        <v>5000</v>
      </c>
      <c r="G36" s="3">
        <v>0</v>
      </c>
      <c r="H36" s="3"/>
    </row>
    <row r="37" spans="1:8">
      <c r="A37" s="64" t="s">
        <v>42</v>
      </c>
      <c r="B37" s="2" t="s">
        <v>43</v>
      </c>
      <c r="C37" s="7" t="s">
        <v>230</v>
      </c>
      <c r="D37" s="3">
        <v>80000</v>
      </c>
      <c r="E37" s="7">
        <v>11</v>
      </c>
      <c r="F37" s="3">
        <v>30000</v>
      </c>
      <c r="G37" s="3">
        <v>0</v>
      </c>
      <c r="H37" s="3"/>
    </row>
    <row r="38" spans="1:8">
      <c r="A38" s="64" t="s">
        <v>44</v>
      </c>
      <c r="B38" s="2" t="s">
        <v>45</v>
      </c>
      <c r="C38" s="7" t="s">
        <v>230</v>
      </c>
      <c r="D38" s="3">
        <v>388000</v>
      </c>
      <c r="E38" s="7">
        <v>11</v>
      </c>
      <c r="F38" s="3">
        <v>130000</v>
      </c>
      <c r="G38" s="3">
        <v>0</v>
      </c>
      <c r="H38" s="3"/>
    </row>
    <row r="39" spans="1:8">
      <c r="A39" s="64" t="s">
        <v>46</v>
      </c>
      <c r="B39" s="2" t="s">
        <v>47</v>
      </c>
      <c r="C39" s="7" t="s">
        <v>230</v>
      </c>
      <c r="D39" s="3">
        <v>11400</v>
      </c>
      <c r="E39" s="7">
        <v>11</v>
      </c>
      <c r="F39" s="3">
        <v>4000</v>
      </c>
      <c r="G39" s="3">
        <v>0</v>
      </c>
      <c r="H39" s="3"/>
    </row>
    <row r="40" spans="1:8">
      <c r="A40" s="64" t="s">
        <v>48</v>
      </c>
      <c r="B40" s="2" t="s">
        <v>49</v>
      </c>
      <c r="C40" s="7" t="s">
        <v>230</v>
      </c>
      <c r="D40" s="3">
        <v>71000</v>
      </c>
      <c r="E40" s="7">
        <v>11</v>
      </c>
      <c r="F40" s="3">
        <v>90000</v>
      </c>
      <c r="G40" s="3">
        <v>0</v>
      </c>
      <c r="H40" s="3"/>
    </row>
    <row r="41" spans="1:8">
      <c r="A41" s="64" t="s">
        <v>50</v>
      </c>
      <c r="B41" s="2" t="s">
        <v>51</v>
      </c>
      <c r="C41" s="7" t="s">
        <v>230</v>
      </c>
      <c r="D41" s="3">
        <v>75000</v>
      </c>
      <c r="E41" s="7">
        <v>11</v>
      </c>
      <c r="F41" s="3">
        <v>25000</v>
      </c>
      <c r="G41" s="3">
        <v>0</v>
      </c>
      <c r="H41" s="3"/>
    </row>
    <row r="42" spans="1:8">
      <c r="A42" s="64" t="s">
        <v>52</v>
      </c>
      <c r="B42" s="2" t="s">
        <v>53</v>
      </c>
      <c r="C42" s="7" t="s">
        <v>230</v>
      </c>
      <c r="D42" s="3">
        <v>163000</v>
      </c>
      <c r="E42" s="7">
        <v>11</v>
      </c>
      <c r="F42" s="3">
        <v>90000</v>
      </c>
      <c r="G42" s="3">
        <v>0</v>
      </c>
      <c r="H42" s="3"/>
    </row>
    <row r="43" spans="1:8">
      <c r="A43" s="63" t="s">
        <v>57</v>
      </c>
      <c r="B43" s="6" t="s">
        <v>58</v>
      </c>
      <c r="C43" s="5" t="s">
        <v>230</v>
      </c>
      <c r="D43" s="1">
        <f>D44+D45+D46+D47+D48+D49</f>
        <v>62900</v>
      </c>
      <c r="E43" s="5">
        <v>11</v>
      </c>
      <c r="F43" s="1">
        <f>F44+F45+F46+F47+F48+F49</f>
        <v>81000</v>
      </c>
      <c r="G43" s="1">
        <f>G44+G45+G46+G47+G48+G49</f>
        <v>0</v>
      </c>
      <c r="H43" s="1">
        <f>H44+H45+H46+H47+H48+H49</f>
        <v>0</v>
      </c>
    </row>
    <row r="44" spans="1:8">
      <c r="A44" s="64" t="s">
        <v>59</v>
      </c>
      <c r="B44" s="2" t="s">
        <v>60</v>
      </c>
      <c r="C44" s="7" t="s">
        <v>230</v>
      </c>
      <c r="D44" s="3">
        <v>45000</v>
      </c>
      <c r="E44" s="7">
        <v>11</v>
      </c>
      <c r="F44" s="3">
        <v>48000</v>
      </c>
      <c r="G44" s="3">
        <v>0</v>
      </c>
      <c r="H44" s="3"/>
    </row>
    <row r="45" spans="1:8">
      <c r="A45" s="64" t="s">
        <v>61</v>
      </c>
      <c r="B45" s="2" t="s">
        <v>62</v>
      </c>
      <c r="C45" s="7" t="s">
        <v>230</v>
      </c>
      <c r="D45" s="3">
        <v>4300</v>
      </c>
      <c r="E45" s="7">
        <v>11</v>
      </c>
      <c r="F45" s="3">
        <v>5000</v>
      </c>
      <c r="G45" s="3">
        <v>0</v>
      </c>
      <c r="H45" s="3"/>
    </row>
    <row r="46" spans="1:8">
      <c r="A46" s="64" t="s">
        <v>63</v>
      </c>
      <c r="B46" s="2" t="s">
        <v>64</v>
      </c>
      <c r="C46" s="7" t="s">
        <v>230</v>
      </c>
      <c r="D46" s="3">
        <v>1000</v>
      </c>
      <c r="E46" s="7">
        <v>11</v>
      </c>
      <c r="F46" s="3">
        <v>1000</v>
      </c>
      <c r="G46" s="3">
        <v>0</v>
      </c>
      <c r="H46" s="3"/>
    </row>
    <row r="47" spans="1:8">
      <c r="A47" s="64" t="s">
        <v>65</v>
      </c>
      <c r="B47" s="2" t="s">
        <v>66</v>
      </c>
      <c r="C47" s="7" t="s">
        <v>230</v>
      </c>
      <c r="D47" s="3">
        <v>600</v>
      </c>
      <c r="E47" s="7">
        <v>11</v>
      </c>
      <c r="F47" s="3">
        <v>2000</v>
      </c>
      <c r="G47" s="3">
        <v>0</v>
      </c>
      <c r="H47" s="3"/>
    </row>
    <row r="48" spans="1:8">
      <c r="A48" s="64" t="s">
        <v>67</v>
      </c>
      <c r="B48" s="2" t="s">
        <v>68</v>
      </c>
      <c r="C48" s="7" t="s">
        <v>230</v>
      </c>
      <c r="D48" s="3">
        <v>10000</v>
      </c>
      <c r="E48" s="7" t="s">
        <v>0</v>
      </c>
      <c r="F48" s="3">
        <v>20000</v>
      </c>
      <c r="G48" s="3">
        <v>0</v>
      </c>
      <c r="H48" s="3"/>
    </row>
    <row r="49" spans="1:8">
      <c r="A49" s="64" t="s">
        <v>69</v>
      </c>
      <c r="B49" s="2" t="s">
        <v>58</v>
      </c>
      <c r="C49" s="7" t="s">
        <v>230</v>
      </c>
      <c r="D49" s="3">
        <v>2000</v>
      </c>
      <c r="E49" s="7">
        <v>11</v>
      </c>
      <c r="F49" s="3">
        <v>5000</v>
      </c>
      <c r="G49" s="3">
        <v>0</v>
      </c>
      <c r="H49" s="3"/>
    </row>
    <row r="50" spans="1:8">
      <c r="A50" s="63" t="s">
        <v>70</v>
      </c>
      <c r="B50" s="6" t="s">
        <v>71</v>
      </c>
      <c r="C50" s="5" t="s">
        <v>230</v>
      </c>
      <c r="D50" s="1">
        <f>D51+D52+D53</f>
        <v>3500</v>
      </c>
      <c r="E50" s="5">
        <v>11</v>
      </c>
      <c r="F50" s="1">
        <f>F51+F52+F53</f>
        <v>3000</v>
      </c>
      <c r="G50" s="1">
        <f>G51+G52+G53</f>
        <v>0</v>
      </c>
      <c r="H50" s="1">
        <f>H51+H52+H53</f>
        <v>0</v>
      </c>
    </row>
    <row r="51" spans="1:8">
      <c r="A51" s="64" t="s">
        <v>72</v>
      </c>
      <c r="B51" s="2" t="s">
        <v>73</v>
      </c>
      <c r="C51" s="7" t="s">
        <v>230</v>
      </c>
      <c r="D51" s="3">
        <v>2000</v>
      </c>
      <c r="E51" s="7">
        <v>11</v>
      </c>
      <c r="F51" s="3">
        <v>1000</v>
      </c>
      <c r="G51" s="3">
        <v>0</v>
      </c>
      <c r="H51" s="3"/>
    </row>
    <row r="52" spans="1:8">
      <c r="A52" s="64" t="s">
        <v>74</v>
      </c>
      <c r="B52" s="2" t="s">
        <v>75</v>
      </c>
      <c r="C52" s="7" t="s">
        <v>230</v>
      </c>
      <c r="D52" s="3">
        <v>1000</v>
      </c>
      <c r="E52" s="7">
        <v>11</v>
      </c>
      <c r="F52" s="3">
        <v>1000</v>
      </c>
      <c r="G52" s="3">
        <v>0</v>
      </c>
      <c r="H52" s="3"/>
    </row>
    <row r="53" spans="1:8">
      <c r="A53" s="64" t="s">
        <v>76</v>
      </c>
      <c r="B53" s="2" t="s">
        <v>77</v>
      </c>
      <c r="C53" s="7" t="s">
        <v>230</v>
      </c>
      <c r="D53" s="3">
        <v>500</v>
      </c>
      <c r="E53" s="7">
        <v>11</v>
      </c>
      <c r="F53" s="3">
        <v>1000</v>
      </c>
      <c r="G53" s="3">
        <v>0</v>
      </c>
      <c r="H53" s="3"/>
    </row>
    <row r="54" spans="1:8">
      <c r="A54" s="63" t="s">
        <v>88</v>
      </c>
      <c r="B54" s="6" t="s">
        <v>89</v>
      </c>
      <c r="C54" s="5" t="s">
        <v>230</v>
      </c>
      <c r="D54" s="1">
        <f>D55+D56+D57</f>
        <v>13500</v>
      </c>
      <c r="E54" s="5">
        <v>11</v>
      </c>
      <c r="F54" s="1">
        <f t="shared" ref="F54:G54" si="2">F55+F56+F57</f>
        <v>211000</v>
      </c>
      <c r="G54" s="1">
        <f t="shared" si="2"/>
        <v>0</v>
      </c>
      <c r="H54" s="1">
        <f>H55+H56+H57</f>
        <v>0</v>
      </c>
    </row>
    <row r="55" spans="1:8">
      <c r="A55" s="64" t="s">
        <v>90</v>
      </c>
      <c r="B55" s="2" t="s">
        <v>91</v>
      </c>
      <c r="C55" s="7" t="s">
        <v>230</v>
      </c>
      <c r="D55" s="3">
        <v>12000</v>
      </c>
      <c r="E55" s="7">
        <v>11</v>
      </c>
      <c r="F55" s="3">
        <v>10000</v>
      </c>
      <c r="G55" s="3">
        <v>0</v>
      </c>
      <c r="H55" s="3"/>
    </row>
    <row r="56" spans="1:8">
      <c r="A56" s="64" t="s">
        <v>92</v>
      </c>
      <c r="B56" s="2" t="s">
        <v>93</v>
      </c>
      <c r="C56" s="7" t="s">
        <v>230</v>
      </c>
      <c r="D56" s="3">
        <v>500</v>
      </c>
      <c r="E56" s="7">
        <v>11</v>
      </c>
      <c r="F56" s="3">
        <v>1000</v>
      </c>
      <c r="G56" s="3">
        <v>0</v>
      </c>
      <c r="H56" s="3"/>
    </row>
    <row r="57" spans="1:8">
      <c r="A57" s="64">
        <v>4225</v>
      </c>
      <c r="B57" s="2" t="s">
        <v>97</v>
      </c>
      <c r="C57" s="7" t="s">
        <v>230</v>
      </c>
      <c r="D57" s="3">
        <v>1000</v>
      </c>
      <c r="E57" s="7" t="s">
        <v>0</v>
      </c>
      <c r="F57" s="3">
        <v>200000</v>
      </c>
      <c r="G57" s="3">
        <v>0</v>
      </c>
      <c r="H57" s="3"/>
    </row>
    <row r="58" spans="1:8">
      <c r="A58" s="62" t="s">
        <v>156</v>
      </c>
      <c r="B58" s="8" t="s">
        <v>87</v>
      </c>
      <c r="C58" s="10"/>
      <c r="D58" s="9">
        <f>D59+D61</f>
        <v>6000</v>
      </c>
      <c r="E58" s="10">
        <v>11</v>
      </c>
      <c r="F58" s="9">
        <f>F59+F61</f>
        <v>80000</v>
      </c>
      <c r="G58" s="9">
        <f>G59+G61</f>
        <v>0</v>
      </c>
      <c r="H58" s="9">
        <f>H59+H61</f>
        <v>0</v>
      </c>
    </row>
    <row r="59" spans="1:8">
      <c r="A59" s="63" t="s">
        <v>83</v>
      </c>
      <c r="B59" s="6" t="s">
        <v>84</v>
      </c>
      <c r="C59" s="5" t="s">
        <v>230</v>
      </c>
      <c r="D59" s="1">
        <f>D60</f>
        <v>1000</v>
      </c>
      <c r="E59" s="5">
        <v>11</v>
      </c>
      <c r="F59" s="1">
        <f>F60</f>
        <v>10000</v>
      </c>
      <c r="G59" s="1">
        <f>G60</f>
        <v>0</v>
      </c>
      <c r="H59" s="1">
        <f>H60</f>
        <v>0</v>
      </c>
    </row>
    <row r="60" spans="1:8">
      <c r="A60" s="64" t="s">
        <v>85</v>
      </c>
      <c r="B60" s="2" t="s">
        <v>86</v>
      </c>
      <c r="C60" s="7" t="s">
        <v>230</v>
      </c>
      <c r="D60" s="3">
        <v>1000</v>
      </c>
      <c r="E60" s="7">
        <v>11</v>
      </c>
      <c r="F60" s="3">
        <v>10000</v>
      </c>
      <c r="G60" s="3">
        <v>0</v>
      </c>
      <c r="H60" s="3"/>
    </row>
    <row r="61" spans="1:8">
      <c r="A61" s="63" t="s">
        <v>140</v>
      </c>
      <c r="B61" s="6" t="s">
        <v>141</v>
      </c>
      <c r="C61" s="5" t="s">
        <v>230</v>
      </c>
      <c r="D61" s="1">
        <f>D62</f>
        <v>5000</v>
      </c>
      <c r="E61" s="5">
        <v>11</v>
      </c>
      <c r="F61" s="1">
        <f>F62</f>
        <v>70000</v>
      </c>
      <c r="G61" s="1">
        <f>G62</f>
        <v>0</v>
      </c>
      <c r="H61" s="1">
        <f>H62</f>
        <v>0</v>
      </c>
    </row>
    <row r="62" spans="1:8">
      <c r="A62" s="64" t="s">
        <v>142</v>
      </c>
      <c r="B62" s="2" t="s">
        <v>143</v>
      </c>
      <c r="C62" s="7" t="s">
        <v>230</v>
      </c>
      <c r="D62" s="3">
        <v>5000</v>
      </c>
      <c r="E62" s="7">
        <v>11</v>
      </c>
      <c r="F62" s="3">
        <v>70000</v>
      </c>
      <c r="G62" s="3">
        <v>0</v>
      </c>
      <c r="H62" s="3"/>
    </row>
    <row r="63" spans="1:8">
      <c r="A63" s="62" t="s">
        <v>157</v>
      </c>
      <c r="B63" s="8" t="s">
        <v>98</v>
      </c>
      <c r="C63" s="10"/>
      <c r="D63" s="9">
        <f t="shared" ref="D63:D64" si="3">D64</f>
        <v>337000</v>
      </c>
      <c r="E63" s="10">
        <v>11</v>
      </c>
      <c r="F63" s="9">
        <f t="shared" ref="F63:H64" si="4">F64</f>
        <v>120000</v>
      </c>
      <c r="G63" s="9">
        <f t="shared" si="4"/>
        <v>0</v>
      </c>
      <c r="H63" s="9">
        <f t="shared" si="4"/>
        <v>0</v>
      </c>
    </row>
    <row r="64" spans="1:8">
      <c r="A64" s="63" t="s">
        <v>34</v>
      </c>
      <c r="B64" s="6" t="s">
        <v>35</v>
      </c>
      <c r="C64" s="5" t="s">
        <v>230</v>
      </c>
      <c r="D64" s="1">
        <f t="shared" si="3"/>
        <v>337000</v>
      </c>
      <c r="E64" s="5">
        <v>11</v>
      </c>
      <c r="F64" s="1">
        <f t="shared" si="4"/>
        <v>120000</v>
      </c>
      <c r="G64" s="1">
        <f t="shared" si="4"/>
        <v>0</v>
      </c>
      <c r="H64" s="1">
        <f t="shared" si="4"/>
        <v>0</v>
      </c>
    </row>
    <row r="65" spans="1:8">
      <c r="A65" s="64" t="s">
        <v>44</v>
      </c>
      <c r="B65" s="2" t="s">
        <v>45</v>
      </c>
      <c r="C65" s="7" t="s">
        <v>230</v>
      </c>
      <c r="D65" s="3">
        <v>337000</v>
      </c>
      <c r="E65" s="7">
        <v>11</v>
      </c>
      <c r="F65" s="3">
        <v>120000</v>
      </c>
      <c r="G65" s="3">
        <v>0</v>
      </c>
      <c r="H65" s="3"/>
    </row>
  </sheetData>
  <customSheetViews>
    <customSheetView guid="{DE360DA9-5353-4F03-95DA-9238CFBE39D8}" scale="110" showPageBreaks="1" printArea="1" state="hidden">
      <pane ySplit="12" topLeftCell="A13" activePane="bottomLeft" state="frozen"/>
      <selection pane="bottomLeft" activeCell="F3" sqref="F3:H3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1"/>
      <headerFooter>
        <oddFooter>&amp;CA O P T&amp;R&amp;P</oddFooter>
      </headerFooter>
    </customSheetView>
    <customSheetView guid="{4FFB33FE-6696-4144-BF99-378C5196B940}" scale="110" showPageBreaks="1" printArea="1" state="hidden">
      <pane ySplit="12" topLeftCell="A13" activePane="bottomLeft" state="frozen"/>
      <selection pane="bottomLeft" activeCell="F3" sqref="F3:H3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2"/>
      <headerFooter>
        <oddFooter>&amp;CA O P T&amp;R&amp;P</oddFooter>
      </headerFooter>
    </customSheetView>
    <customSheetView guid="{3D59341C-00F4-4635-AC4F-8988CF6BE637}" scale="110" state="hidden">
      <pane ySplit="12" topLeftCell="A13" activePane="bottomLeft" state="frozen"/>
      <selection pane="bottomLeft" activeCell="F3" sqref="F3:H3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3"/>
      <headerFooter>
        <oddFooter>&amp;CA O P T&amp;R&amp;P</oddFooter>
      </headerFooter>
    </customSheetView>
    <customSheetView guid="{5251AB89-31D9-4C6C-945A-13C9748C2E26}" scale="110" state="hidden">
      <pane ySplit="12" topLeftCell="A13" activePane="bottomLeft" state="frozen"/>
      <selection pane="bottomLeft" activeCell="F3" sqref="F3:H3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4"/>
      <headerFooter>
        <oddFooter>&amp;CA O P T&amp;R&amp;P</oddFooter>
      </headerFooter>
    </customSheetView>
    <customSheetView guid="{14A1FC8C-94B5-4B4E-9269-30661976D1D1}" scale="110" state="hidden">
      <pane ySplit="12" topLeftCell="A13" activePane="bottomLeft" state="frozen"/>
      <selection pane="bottomLeft" activeCell="F3" sqref="F3:H3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5"/>
      <headerFooter>
        <oddFooter>&amp;CA O P T&amp;R&amp;P</oddFooter>
      </headerFooter>
    </customSheetView>
    <customSheetView guid="{D0F51479-7B68-4FFC-8604-F0A17468B00E}" scale="110" state="hidden">
      <pane ySplit="12" topLeftCell="A13" activePane="bottomLeft" state="frozen"/>
      <selection pane="bottomLeft" activeCell="F3" sqref="F3:H3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6"/>
      <headerFooter>
        <oddFooter>&amp;CA O P T&amp;R&amp;P</oddFooter>
      </headerFooter>
    </customSheetView>
    <customSheetView guid="{0D7CE69A-AF67-471F-AE1C-92FEF35D1955}" scale="110" showPageBreaks="1" printArea="1" state="hidden">
      <pane ySplit="12" topLeftCell="A13" activePane="bottomLeft" state="frozen"/>
      <selection pane="bottomLeft" activeCell="F3" sqref="F3:H3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7"/>
      <headerFooter>
        <oddFooter>&amp;CA O P T&amp;R&amp;P</oddFooter>
      </headerFooter>
    </customSheetView>
    <customSheetView guid="{3EC3B099-A84F-48D2-A97E-B7686AB72BE7}" scale="110" showPageBreaks="1" printArea="1" state="hidden">
      <pane ySplit="12" topLeftCell="A13" activePane="bottomLeft" state="frozen"/>
      <selection pane="bottomLeft" activeCell="F3" sqref="F3:H3"/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8"/>
      <headerFooter>
        <oddFooter>&amp;CA O P T&amp;R&amp;P</oddFooter>
      </headerFooter>
    </customSheetView>
  </customSheetViews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9"/>
  <headerFooter>
    <oddFooter>&amp;CA O P T&amp;R&amp;P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8"/>
  <sheetViews>
    <sheetView zoomScale="110" zoomScaleNormal="110" zoomScaleSheetLayoutView="100" workbookViewId="0">
      <pane ySplit="12" topLeftCell="A13" activePane="bottomLeft" state="frozen"/>
      <selection pane="bottomLeft" activeCell="F3" sqref="F3:H3"/>
    </sheetView>
  </sheetViews>
  <sheetFormatPr defaultRowHeight="15"/>
  <cols>
    <col min="1" max="1" width="10.7109375" style="61" customWidth="1"/>
    <col min="2" max="2" width="50.7109375" customWidth="1"/>
    <col min="3" max="3" width="5.7109375" customWidth="1"/>
    <col min="4" max="4" width="14.7109375" customWidth="1"/>
    <col min="5" max="5" width="5.7109375" customWidth="1"/>
    <col min="6" max="8" width="16.7109375" customWidth="1"/>
    <col min="9" max="9" width="13.5703125" customWidth="1"/>
    <col min="10" max="10" width="14.42578125" customWidth="1"/>
    <col min="11" max="11" width="13.140625" customWidth="1"/>
  </cols>
  <sheetData>
    <row r="1" spans="1:11" ht="30" customHeight="1">
      <c r="A1" s="76"/>
      <c r="B1" s="77"/>
      <c r="C1" s="78" t="s">
        <v>220</v>
      </c>
      <c r="D1" s="73" t="s">
        <v>301</v>
      </c>
      <c r="E1" s="78" t="s">
        <v>180</v>
      </c>
      <c r="F1" s="73" t="s">
        <v>398</v>
      </c>
      <c r="G1" s="73" t="s">
        <v>399</v>
      </c>
      <c r="H1" s="287" t="s">
        <v>400</v>
      </c>
    </row>
    <row r="2" spans="1:11" ht="25.5" customHeight="1">
      <c r="A2" s="79" t="s">
        <v>158</v>
      </c>
      <c r="B2" s="80" t="s">
        <v>159</v>
      </c>
      <c r="C2" s="81"/>
      <c r="D2" s="82">
        <f>D13+D57+D65+D76+D87+D98+D109</f>
        <v>12500000</v>
      </c>
      <c r="E2" s="81"/>
      <c r="F2" s="82">
        <f>F13+F57+F65+F76+F87+F98+F109+F114</f>
        <v>16837384</v>
      </c>
      <c r="G2" s="82">
        <f t="shared" ref="G2:H2" si="0">G13+G57+G65+G76+G87+G98+G109+G114</f>
        <v>15537384</v>
      </c>
      <c r="H2" s="82">
        <f t="shared" si="0"/>
        <v>15537384</v>
      </c>
    </row>
    <row r="3" spans="1:11" ht="15" customHeight="1">
      <c r="A3" s="1058"/>
      <c r="B3" s="1058"/>
      <c r="C3" s="1059"/>
      <c r="D3" s="21">
        <f>D13+D57+D65+D76+D87+D98+D109</f>
        <v>12500000</v>
      </c>
      <c r="E3" s="87">
        <v>11</v>
      </c>
      <c r="F3" s="21">
        <f>F13+F57+F65+F76+F87+F98+F109</f>
        <v>15947384</v>
      </c>
      <c r="G3" s="21">
        <f>G13+G57+G65+G76+G87+G98+G109</f>
        <v>15537384</v>
      </c>
      <c r="H3" s="21">
        <f>H13+H57+H65+H76+H87+H98+H109</f>
        <v>15537384</v>
      </c>
      <c r="I3" s="22"/>
      <c r="J3" s="22"/>
      <c r="K3" s="22"/>
    </row>
    <row r="4" spans="1:11">
      <c r="A4" s="1060"/>
      <c r="B4" s="1060"/>
      <c r="C4" s="1061"/>
      <c r="D4" s="21">
        <v>0</v>
      </c>
      <c r="E4" s="20">
        <v>12</v>
      </c>
      <c r="F4" s="21">
        <f>F118</f>
        <v>90000</v>
      </c>
      <c r="G4" s="21">
        <v>0</v>
      </c>
      <c r="H4" s="21">
        <f>H118</f>
        <v>0</v>
      </c>
    </row>
    <row r="5" spans="1:11">
      <c r="A5" s="1060"/>
      <c r="B5" s="1060"/>
      <c r="C5" s="1061"/>
      <c r="D5" s="29">
        <f>D3+D4</f>
        <v>12500000</v>
      </c>
      <c r="E5" s="30" t="s">
        <v>267</v>
      </c>
      <c r="F5" s="29">
        <f>F3+F4</f>
        <v>16037384</v>
      </c>
      <c r="G5" s="29">
        <f>G3+G4</f>
        <v>15537384</v>
      </c>
      <c r="H5" s="29">
        <f>H3+H4</f>
        <v>15537384</v>
      </c>
    </row>
    <row r="6" spans="1:11">
      <c r="A6" s="1060"/>
      <c r="B6" s="1060"/>
      <c r="C6" s="1061"/>
      <c r="D6" s="21">
        <v>0</v>
      </c>
      <c r="E6" s="20" t="s">
        <v>216</v>
      </c>
      <c r="F6" s="21">
        <v>0</v>
      </c>
      <c r="G6" s="21">
        <v>0</v>
      </c>
      <c r="H6" s="21">
        <v>0</v>
      </c>
    </row>
    <row r="7" spans="1:11">
      <c r="A7" s="1060"/>
      <c r="B7" s="1060"/>
      <c r="C7" s="1061"/>
      <c r="D7" s="21">
        <v>0</v>
      </c>
      <c r="E7" s="20" t="s">
        <v>273</v>
      </c>
      <c r="F7" s="21">
        <v>0</v>
      </c>
      <c r="G7" s="21">
        <v>0</v>
      </c>
      <c r="H7" s="21">
        <v>0</v>
      </c>
    </row>
    <row r="8" spans="1:11">
      <c r="A8" s="1060"/>
      <c r="B8" s="1060"/>
      <c r="C8" s="1061"/>
      <c r="D8" s="21">
        <v>0</v>
      </c>
      <c r="E8" s="20" t="s">
        <v>235</v>
      </c>
      <c r="F8" s="21">
        <f>F116</f>
        <v>800000</v>
      </c>
      <c r="G8" s="21">
        <v>0</v>
      </c>
      <c r="H8" s="21">
        <v>0</v>
      </c>
    </row>
    <row r="9" spans="1:11">
      <c r="A9" s="1060"/>
      <c r="B9" s="1060"/>
      <c r="C9" s="1061"/>
      <c r="D9" s="21">
        <v>0</v>
      </c>
      <c r="E9" s="20" t="s">
        <v>265</v>
      </c>
      <c r="F9" s="21">
        <v>0</v>
      </c>
      <c r="G9" s="21">
        <v>0</v>
      </c>
      <c r="H9" s="21">
        <v>0</v>
      </c>
    </row>
    <row r="10" spans="1:11">
      <c r="A10" s="1060"/>
      <c r="B10" s="1060"/>
      <c r="C10" s="1061"/>
      <c r="D10" s="21">
        <v>0</v>
      </c>
      <c r="E10" s="20" t="s">
        <v>234</v>
      </c>
      <c r="F10" s="21">
        <v>0</v>
      </c>
      <c r="G10" s="21">
        <v>0</v>
      </c>
      <c r="H10" s="21">
        <v>0</v>
      </c>
    </row>
    <row r="11" spans="1:11">
      <c r="A11" s="1072"/>
      <c r="B11" s="1072"/>
      <c r="C11" s="1073"/>
      <c r="D11" s="21">
        <v>0</v>
      </c>
      <c r="E11" s="20" t="s">
        <v>292</v>
      </c>
      <c r="F11" s="21">
        <v>0</v>
      </c>
      <c r="G11" s="21">
        <v>0</v>
      </c>
      <c r="H11" s="21">
        <v>0</v>
      </c>
    </row>
    <row r="12" spans="1:11" ht="25.5" customHeight="1">
      <c r="A12" s="1068" t="s">
        <v>277</v>
      </c>
      <c r="B12" s="1069"/>
      <c r="C12" s="1069"/>
      <c r="D12" s="1069"/>
      <c r="E12" s="1069"/>
      <c r="F12" s="1070"/>
      <c r="G12" s="1071"/>
      <c r="H12" s="1069"/>
    </row>
    <row r="13" spans="1:11">
      <c r="A13" s="67" t="s">
        <v>160</v>
      </c>
      <c r="B13" s="23" t="s">
        <v>299</v>
      </c>
      <c r="C13" s="24"/>
      <c r="D13" s="119">
        <f>D14+D18+D20+D23+D28+D33+D43+D49+D55+D53</f>
        <v>10595000</v>
      </c>
      <c r="E13" s="24" t="s">
        <v>0</v>
      </c>
      <c r="F13" s="375">
        <f>F14+F18+F20+F23+F28+F33+F43+F49+F55+F53</f>
        <v>12252184</v>
      </c>
      <c r="G13" s="375">
        <f>G14+G18+G20+G23+G28+G33+G43+G49+G55+G53</f>
        <v>11592184</v>
      </c>
      <c r="H13" s="375">
        <f>H14+H18+H20+H23+H28+H33+H43+H49+H55+H53</f>
        <v>11652184</v>
      </c>
    </row>
    <row r="14" spans="1:11">
      <c r="A14" s="68" t="s">
        <v>1</v>
      </c>
      <c r="B14" s="16" t="s">
        <v>2</v>
      </c>
      <c r="C14" s="15" t="s">
        <v>227</v>
      </c>
      <c r="D14" s="120">
        <f>D15+D16+D17</f>
        <v>6604275</v>
      </c>
      <c r="E14" s="15" t="s">
        <v>0</v>
      </c>
      <c r="F14" s="376">
        <f>F15+F16+F17</f>
        <v>7631900</v>
      </c>
      <c r="G14" s="376">
        <f>G15+G16+G17</f>
        <v>7631900</v>
      </c>
      <c r="H14" s="376">
        <f>H15+H16+H17</f>
        <v>7631900</v>
      </c>
    </row>
    <row r="15" spans="1:11">
      <c r="A15" s="69" t="s">
        <v>3</v>
      </c>
      <c r="B15" s="17" t="s">
        <v>4</v>
      </c>
      <c r="C15" s="18" t="s">
        <v>227</v>
      </c>
      <c r="D15" s="121">
        <v>6589075</v>
      </c>
      <c r="E15" s="18" t="s">
        <v>0</v>
      </c>
      <c r="F15" s="377">
        <v>7631900</v>
      </c>
      <c r="G15" s="377">
        <v>7631900</v>
      </c>
      <c r="H15" s="377">
        <v>7631900</v>
      </c>
    </row>
    <row r="16" spans="1:11">
      <c r="A16" s="69" t="s">
        <v>149</v>
      </c>
      <c r="B16" s="17" t="s">
        <v>150</v>
      </c>
      <c r="C16" s="18" t="s">
        <v>227</v>
      </c>
      <c r="D16" s="121">
        <v>15200</v>
      </c>
      <c r="E16" s="18" t="s">
        <v>0</v>
      </c>
      <c r="F16" s="377">
        <v>0</v>
      </c>
      <c r="G16" s="377">
        <v>0</v>
      </c>
      <c r="H16" s="377">
        <v>0</v>
      </c>
    </row>
    <row r="17" spans="1:8">
      <c r="A17" s="69" t="s">
        <v>5</v>
      </c>
      <c r="B17" s="17" t="s">
        <v>6</v>
      </c>
      <c r="C17" s="18" t="s">
        <v>227</v>
      </c>
      <c r="D17" s="121">
        <v>0</v>
      </c>
      <c r="E17" s="18" t="s">
        <v>0</v>
      </c>
      <c r="F17" s="377">
        <v>0</v>
      </c>
      <c r="G17" s="377">
        <v>0</v>
      </c>
      <c r="H17" s="377">
        <v>0</v>
      </c>
    </row>
    <row r="18" spans="1:8">
      <c r="A18" s="68" t="s">
        <v>7</v>
      </c>
      <c r="B18" s="16" t="s">
        <v>8</v>
      </c>
      <c r="C18" s="15" t="s">
        <v>227</v>
      </c>
      <c r="D18" s="120">
        <f t="shared" ref="D18" si="1">SUM(D19)</f>
        <v>59225</v>
      </c>
      <c r="E18" s="15" t="s">
        <v>0</v>
      </c>
      <c r="F18" s="376">
        <f t="shared" ref="F18:H18" si="2">SUM(F19)</f>
        <v>170000</v>
      </c>
      <c r="G18" s="376">
        <f t="shared" si="2"/>
        <v>170000</v>
      </c>
      <c r="H18" s="376">
        <f t="shared" si="2"/>
        <v>170000</v>
      </c>
    </row>
    <row r="19" spans="1:8">
      <c r="A19" s="69" t="s">
        <v>9</v>
      </c>
      <c r="B19" s="17" t="s">
        <v>8</v>
      </c>
      <c r="C19" s="18" t="s">
        <v>227</v>
      </c>
      <c r="D19" s="121">
        <v>59225</v>
      </c>
      <c r="E19" s="18" t="s">
        <v>0</v>
      </c>
      <c r="F19" s="377">
        <v>170000</v>
      </c>
      <c r="G19" s="377">
        <v>170000</v>
      </c>
      <c r="H19" s="377">
        <v>170000</v>
      </c>
    </row>
    <row r="20" spans="1:8">
      <c r="A20" s="68" t="s">
        <v>10</v>
      </c>
      <c r="B20" s="16" t="s">
        <v>11</v>
      </c>
      <c r="C20" s="15" t="s">
        <v>227</v>
      </c>
      <c r="D20" s="120">
        <f>D21+D22</f>
        <v>1120000</v>
      </c>
      <c r="E20" s="15" t="s">
        <v>0</v>
      </c>
      <c r="F20" s="376">
        <f>F21+F22</f>
        <v>1355484</v>
      </c>
      <c r="G20" s="376">
        <f>G21+G22</f>
        <v>1355484</v>
      </c>
      <c r="H20" s="376">
        <f>H21+H22</f>
        <v>1355484</v>
      </c>
    </row>
    <row r="21" spans="1:8">
      <c r="A21" s="69" t="s">
        <v>12</v>
      </c>
      <c r="B21" s="17" t="s">
        <v>13</v>
      </c>
      <c r="C21" s="18" t="s">
        <v>227</v>
      </c>
      <c r="D21" s="121">
        <v>1000000</v>
      </c>
      <c r="E21" s="18" t="s">
        <v>0</v>
      </c>
      <c r="F21" s="377">
        <v>1204820</v>
      </c>
      <c r="G21" s="377">
        <v>1204820</v>
      </c>
      <c r="H21" s="377">
        <v>1204820</v>
      </c>
    </row>
    <row r="22" spans="1:8">
      <c r="A22" s="69" t="s">
        <v>14</v>
      </c>
      <c r="B22" s="17" t="s">
        <v>15</v>
      </c>
      <c r="C22" s="18" t="s">
        <v>227</v>
      </c>
      <c r="D22" s="121">
        <v>120000</v>
      </c>
      <c r="E22" s="18" t="s">
        <v>0</v>
      </c>
      <c r="F22" s="377">
        <v>150664</v>
      </c>
      <c r="G22" s="377">
        <v>150664</v>
      </c>
      <c r="H22" s="377">
        <v>150664</v>
      </c>
    </row>
    <row r="23" spans="1:8">
      <c r="A23" s="68" t="s">
        <v>16</v>
      </c>
      <c r="B23" s="16" t="s">
        <v>17</v>
      </c>
      <c r="C23" s="15" t="s">
        <v>227</v>
      </c>
      <c r="D23" s="120">
        <f>D24+D25+D26+D27</f>
        <v>275000</v>
      </c>
      <c r="E23" s="15" t="s">
        <v>0</v>
      </c>
      <c r="F23" s="376">
        <f>F24+F25+F26+F27</f>
        <v>395000</v>
      </c>
      <c r="G23" s="376">
        <f>G24+G25+G26+G27</f>
        <v>395000</v>
      </c>
      <c r="H23" s="376">
        <f>H24+H25+H26+H27</f>
        <v>395000</v>
      </c>
    </row>
    <row r="24" spans="1:8">
      <c r="A24" s="69" t="s">
        <v>18</v>
      </c>
      <c r="B24" s="17" t="s">
        <v>19</v>
      </c>
      <c r="C24" s="18" t="s">
        <v>227</v>
      </c>
      <c r="D24" s="121">
        <v>130000</v>
      </c>
      <c r="E24" s="18" t="s">
        <v>0</v>
      </c>
      <c r="F24" s="377">
        <v>160000</v>
      </c>
      <c r="G24" s="377">
        <v>160000</v>
      </c>
      <c r="H24" s="377">
        <v>160000</v>
      </c>
    </row>
    <row r="25" spans="1:8">
      <c r="A25" s="69" t="s">
        <v>20</v>
      </c>
      <c r="B25" s="17" t="s">
        <v>21</v>
      </c>
      <c r="C25" s="18" t="s">
        <v>227</v>
      </c>
      <c r="D25" s="121">
        <v>130000</v>
      </c>
      <c r="E25" s="18" t="s">
        <v>0</v>
      </c>
      <c r="F25" s="377">
        <v>170000</v>
      </c>
      <c r="G25" s="377">
        <v>170000</v>
      </c>
      <c r="H25" s="377">
        <v>170000</v>
      </c>
    </row>
    <row r="26" spans="1:8">
      <c r="A26" s="69" t="s">
        <v>22</v>
      </c>
      <c r="B26" s="17" t="s">
        <v>23</v>
      </c>
      <c r="C26" s="18" t="s">
        <v>227</v>
      </c>
      <c r="D26" s="121">
        <v>15000</v>
      </c>
      <c r="E26" s="18" t="s">
        <v>0</v>
      </c>
      <c r="F26" s="377">
        <v>65000</v>
      </c>
      <c r="G26" s="377">
        <v>65000</v>
      </c>
      <c r="H26" s="377">
        <v>65000</v>
      </c>
    </row>
    <row r="27" spans="1:8">
      <c r="A27" s="69" t="s">
        <v>161</v>
      </c>
      <c r="B27" s="17" t="s">
        <v>162</v>
      </c>
      <c r="C27" s="18" t="s">
        <v>227</v>
      </c>
      <c r="D27" s="121">
        <v>0</v>
      </c>
      <c r="E27" s="18" t="s">
        <v>0</v>
      </c>
      <c r="F27" s="377">
        <v>0</v>
      </c>
      <c r="G27" s="377">
        <v>0</v>
      </c>
      <c r="H27" s="377">
        <v>0</v>
      </c>
    </row>
    <row r="28" spans="1:8">
      <c r="A28" s="68" t="s">
        <v>24</v>
      </c>
      <c r="B28" s="16" t="s">
        <v>25</v>
      </c>
      <c r="C28" s="15" t="s">
        <v>227</v>
      </c>
      <c r="D28" s="120">
        <f>D29+D30+D31+D32</f>
        <v>343500</v>
      </c>
      <c r="E28" s="15" t="s">
        <v>0</v>
      </c>
      <c r="F28" s="376">
        <f>F29+F30+F31+F32</f>
        <v>345500</v>
      </c>
      <c r="G28" s="376">
        <f>G29+G30+G31+G32</f>
        <v>345500</v>
      </c>
      <c r="H28" s="376">
        <f>H29+H30+H31+H32</f>
        <v>345500</v>
      </c>
    </row>
    <row r="29" spans="1:8">
      <c r="A29" s="69" t="s">
        <v>26</v>
      </c>
      <c r="B29" s="17" t="s">
        <v>27</v>
      </c>
      <c r="C29" s="18" t="s">
        <v>227</v>
      </c>
      <c r="D29" s="121">
        <v>38000</v>
      </c>
      <c r="E29" s="18" t="s">
        <v>0</v>
      </c>
      <c r="F29" s="377">
        <v>40000</v>
      </c>
      <c r="G29" s="377">
        <v>40000</v>
      </c>
      <c r="H29" s="377">
        <v>40000</v>
      </c>
    </row>
    <row r="30" spans="1:8">
      <c r="A30" s="69" t="s">
        <v>28</v>
      </c>
      <c r="B30" s="17" t="s">
        <v>29</v>
      </c>
      <c r="C30" s="18" t="s">
        <v>227</v>
      </c>
      <c r="D30" s="121">
        <v>300000</v>
      </c>
      <c r="E30" s="18" t="s">
        <v>0</v>
      </c>
      <c r="F30" s="377">
        <v>300000</v>
      </c>
      <c r="G30" s="377">
        <v>300000</v>
      </c>
      <c r="H30" s="377">
        <v>300000</v>
      </c>
    </row>
    <row r="31" spans="1:8">
      <c r="A31" s="69" t="s">
        <v>30</v>
      </c>
      <c r="B31" s="17" t="s">
        <v>31</v>
      </c>
      <c r="C31" s="18" t="s">
        <v>227</v>
      </c>
      <c r="D31" s="121">
        <v>500</v>
      </c>
      <c r="E31" s="18" t="s">
        <v>0</v>
      </c>
      <c r="F31" s="377">
        <v>500</v>
      </c>
      <c r="G31" s="377">
        <v>500</v>
      </c>
      <c r="H31" s="377">
        <v>500</v>
      </c>
    </row>
    <row r="32" spans="1:8">
      <c r="A32" s="69" t="s">
        <v>32</v>
      </c>
      <c r="B32" s="17" t="s">
        <v>33</v>
      </c>
      <c r="C32" s="18" t="s">
        <v>227</v>
      </c>
      <c r="D32" s="121">
        <v>5000</v>
      </c>
      <c r="E32" s="18" t="s">
        <v>0</v>
      </c>
      <c r="F32" s="377">
        <v>5000</v>
      </c>
      <c r="G32" s="377">
        <v>5000</v>
      </c>
      <c r="H32" s="377">
        <v>5000</v>
      </c>
    </row>
    <row r="33" spans="1:8">
      <c r="A33" s="68" t="s">
        <v>34</v>
      </c>
      <c r="B33" s="16" t="s">
        <v>35</v>
      </c>
      <c r="C33" s="15" t="s">
        <v>227</v>
      </c>
      <c r="D33" s="120">
        <f>D34+D35+D36+D37+D38+D39+D40+D41+D42</f>
        <v>1910000</v>
      </c>
      <c r="E33" s="15" t="s">
        <v>0</v>
      </c>
      <c r="F33" s="376">
        <f>F34+F35+F36+F37+F38+F39+F40+F41+F42</f>
        <v>1565000</v>
      </c>
      <c r="G33" s="376">
        <f>G34+G35+G36+G37+G38+G39+G40+G41+G42</f>
        <v>1405000</v>
      </c>
      <c r="H33" s="376">
        <f>H34+H35+H36+H37+H38+H39+H40+H41+H42</f>
        <v>1465000</v>
      </c>
    </row>
    <row r="34" spans="1:8">
      <c r="A34" s="69" t="s">
        <v>36</v>
      </c>
      <c r="B34" s="17" t="s">
        <v>37</v>
      </c>
      <c r="C34" s="18" t="s">
        <v>227</v>
      </c>
      <c r="D34" s="121">
        <v>225000</v>
      </c>
      <c r="E34" s="18" t="s">
        <v>0</v>
      </c>
      <c r="F34" s="377">
        <v>200000</v>
      </c>
      <c r="G34" s="377">
        <v>200000</v>
      </c>
      <c r="H34" s="377">
        <v>200000</v>
      </c>
    </row>
    <row r="35" spans="1:8">
      <c r="A35" s="69" t="s">
        <v>38</v>
      </c>
      <c r="B35" s="17" t="s">
        <v>39</v>
      </c>
      <c r="C35" s="18" t="s">
        <v>227</v>
      </c>
      <c r="D35" s="121">
        <v>300000</v>
      </c>
      <c r="E35" s="18" t="s">
        <v>0</v>
      </c>
      <c r="F35" s="377">
        <v>300000</v>
      </c>
      <c r="G35" s="377">
        <v>200000</v>
      </c>
      <c r="H35" s="377">
        <v>200000</v>
      </c>
    </row>
    <row r="36" spans="1:8">
      <c r="A36" s="69" t="s">
        <v>40</v>
      </c>
      <c r="B36" s="17" t="s">
        <v>41</v>
      </c>
      <c r="C36" s="18" t="s">
        <v>227</v>
      </c>
      <c r="D36" s="121">
        <v>250000</v>
      </c>
      <c r="E36" s="18" t="s">
        <v>0</v>
      </c>
      <c r="F36" s="377">
        <v>150000</v>
      </c>
      <c r="G36" s="377">
        <v>150000</v>
      </c>
      <c r="H36" s="377">
        <v>150000</v>
      </c>
    </row>
    <row r="37" spans="1:8">
      <c r="A37" s="69" t="s">
        <v>42</v>
      </c>
      <c r="B37" s="17" t="s">
        <v>43</v>
      </c>
      <c r="C37" s="18" t="s">
        <v>227</v>
      </c>
      <c r="D37" s="121">
        <v>130000</v>
      </c>
      <c r="E37" s="18" t="s">
        <v>0</v>
      </c>
      <c r="F37" s="377">
        <v>60000</v>
      </c>
      <c r="G37" s="377">
        <v>60000</v>
      </c>
      <c r="H37" s="377">
        <v>60000</v>
      </c>
    </row>
    <row r="38" spans="1:8">
      <c r="A38" s="69" t="s">
        <v>44</v>
      </c>
      <c r="B38" s="17" t="s">
        <v>45</v>
      </c>
      <c r="C38" s="18" t="s">
        <v>227</v>
      </c>
      <c r="D38" s="121">
        <v>660000</v>
      </c>
      <c r="E38" s="18" t="s">
        <v>0</v>
      </c>
      <c r="F38" s="377">
        <v>450000</v>
      </c>
      <c r="G38" s="377">
        <v>450000</v>
      </c>
      <c r="H38" s="377">
        <v>450000</v>
      </c>
    </row>
    <row r="39" spans="1:8">
      <c r="A39" s="69" t="s">
        <v>46</v>
      </c>
      <c r="B39" s="17" t="s">
        <v>47</v>
      </c>
      <c r="C39" s="18" t="s">
        <v>227</v>
      </c>
      <c r="D39" s="121">
        <v>0</v>
      </c>
      <c r="E39" s="18" t="s">
        <v>0</v>
      </c>
      <c r="F39" s="377">
        <v>60000</v>
      </c>
      <c r="G39" s="377">
        <v>0</v>
      </c>
      <c r="H39" s="377">
        <v>60000</v>
      </c>
    </row>
    <row r="40" spans="1:8">
      <c r="A40" s="69" t="s">
        <v>48</v>
      </c>
      <c r="B40" s="17" t="s">
        <v>49</v>
      </c>
      <c r="C40" s="18" t="s">
        <v>227</v>
      </c>
      <c r="D40" s="121">
        <v>65000</v>
      </c>
      <c r="E40" s="18" t="s">
        <v>0</v>
      </c>
      <c r="F40" s="377">
        <v>65000</v>
      </c>
      <c r="G40" s="377">
        <v>65000</v>
      </c>
      <c r="H40" s="377">
        <v>65000</v>
      </c>
    </row>
    <row r="41" spans="1:8">
      <c r="A41" s="69" t="s">
        <v>50</v>
      </c>
      <c r="B41" s="17" t="s">
        <v>51</v>
      </c>
      <c r="C41" s="18" t="s">
        <v>227</v>
      </c>
      <c r="D41" s="121">
        <v>40000</v>
      </c>
      <c r="E41" s="18" t="s">
        <v>0</v>
      </c>
      <c r="F41" s="377">
        <v>40000</v>
      </c>
      <c r="G41" s="377">
        <v>40000</v>
      </c>
      <c r="H41" s="377">
        <v>40000</v>
      </c>
    </row>
    <row r="42" spans="1:8">
      <c r="A42" s="69" t="s">
        <v>52</v>
      </c>
      <c r="B42" s="17" t="s">
        <v>53</v>
      </c>
      <c r="C42" s="18" t="s">
        <v>227</v>
      </c>
      <c r="D42" s="121">
        <v>240000</v>
      </c>
      <c r="E42" s="18" t="s">
        <v>0</v>
      </c>
      <c r="F42" s="377">
        <v>240000</v>
      </c>
      <c r="G42" s="377">
        <v>240000</v>
      </c>
      <c r="H42" s="377">
        <v>240000</v>
      </c>
    </row>
    <row r="43" spans="1:8">
      <c r="A43" s="68" t="s">
        <v>57</v>
      </c>
      <c r="B43" s="16" t="s">
        <v>58</v>
      </c>
      <c r="C43" s="15" t="s">
        <v>227</v>
      </c>
      <c r="D43" s="120">
        <f>D44+D45+D46+D47+D48</f>
        <v>67400</v>
      </c>
      <c r="E43" s="15" t="s">
        <v>0</v>
      </c>
      <c r="F43" s="376">
        <f>F44+F45+F46+F47+F48</f>
        <v>74000</v>
      </c>
      <c r="G43" s="376">
        <f>G44+G45+G46+G47+G48</f>
        <v>74000</v>
      </c>
      <c r="H43" s="376">
        <f>H44+H45+H46+H47+H48</f>
        <v>74000</v>
      </c>
    </row>
    <row r="44" spans="1:8">
      <c r="A44" s="69" t="s">
        <v>61</v>
      </c>
      <c r="B44" s="17" t="s">
        <v>62</v>
      </c>
      <c r="C44" s="18" t="s">
        <v>227</v>
      </c>
      <c r="D44" s="121">
        <v>6400</v>
      </c>
      <c r="E44" s="18" t="s">
        <v>0</v>
      </c>
      <c r="F44" s="377">
        <v>4000</v>
      </c>
      <c r="G44" s="377">
        <v>4000</v>
      </c>
      <c r="H44" s="377">
        <v>4000</v>
      </c>
    </row>
    <row r="45" spans="1:8">
      <c r="A45" s="69" t="s">
        <v>63</v>
      </c>
      <c r="B45" s="17" t="s">
        <v>64</v>
      </c>
      <c r="C45" s="18" t="s">
        <v>227</v>
      </c>
      <c r="D45" s="121">
        <v>25000</v>
      </c>
      <c r="E45" s="18" t="s">
        <v>0</v>
      </c>
      <c r="F45" s="377">
        <v>25000</v>
      </c>
      <c r="G45" s="377">
        <v>25000</v>
      </c>
      <c r="H45" s="377">
        <v>25000</v>
      </c>
    </row>
    <row r="46" spans="1:8">
      <c r="A46" s="69" t="s">
        <v>65</v>
      </c>
      <c r="B46" s="17" t="s">
        <v>66</v>
      </c>
      <c r="C46" s="18" t="s">
        <v>227</v>
      </c>
      <c r="D46" s="121">
        <v>1000</v>
      </c>
      <c r="E46" s="18" t="s">
        <v>0</v>
      </c>
      <c r="F46" s="377">
        <v>10000</v>
      </c>
      <c r="G46" s="377">
        <v>10000</v>
      </c>
      <c r="H46" s="377">
        <v>10000</v>
      </c>
    </row>
    <row r="47" spans="1:8">
      <c r="A47" s="69" t="s">
        <v>67</v>
      </c>
      <c r="B47" s="17" t="s">
        <v>68</v>
      </c>
      <c r="C47" s="18" t="s">
        <v>227</v>
      </c>
      <c r="D47" s="121">
        <v>25000</v>
      </c>
      <c r="E47" s="18" t="s">
        <v>0</v>
      </c>
      <c r="F47" s="377">
        <v>25000</v>
      </c>
      <c r="G47" s="377">
        <v>25000</v>
      </c>
      <c r="H47" s="377">
        <v>25000</v>
      </c>
    </row>
    <row r="48" spans="1:8">
      <c r="A48" s="69" t="s">
        <v>69</v>
      </c>
      <c r="B48" s="17" t="s">
        <v>58</v>
      </c>
      <c r="C48" s="18" t="s">
        <v>227</v>
      </c>
      <c r="D48" s="121">
        <v>10000</v>
      </c>
      <c r="E48" s="18" t="s">
        <v>0</v>
      </c>
      <c r="F48" s="377">
        <v>10000</v>
      </c>
      <c r="G48" s="377">
        <v>10000</v>
      </c>
      <c r="H48" s="377">
        <v>10000</v>
      </c>
    </row>
    <row r="49" spans="1:8">
      <c r="A49" s="68" t="s">
        <v>70</v>
      </c>
      <c r="B49" s="16" t="s">
        <v>71</v>
      </c>
      <c r="C49" s="15" t="s">
        <v>227</v>
      </c>
      <c r="D49" s="120">
        <f>D50+D51+D52</f>
        <v>600</v>
      </c>
      <c r="E49" s="15" t="s">
        <v>0</v>
      </c>
      <c r="F49" s="376">
        <f>F50+F51+F52</f>
        <v>300</v>
      </c>
      <c r="G49" s="376">
        <f>G50+G51+G52</f>
        <v>300</v>
      </c>
      <c r="H49" s="376">
        <f>H50+H51+H52</f>
        <v>300</v>
      </c>
    </row>
    <row r="50" spans="1:8">
      <c r="A50" s="69" t="s">
        <v>72</v>
      </c>
      <c r="B50" s="17" t="s">
        <v>73</v>
      </c>
      <c r="C50" s="18" t="s">
        <v>227</v>
      </c>
      <c r="D50" s="121">
        <v>200</v>
      </c>
      <c r="E50" s="18" t="s">
        <v>0</v>
      </c>
      <c r="F50" s="377">
        <v>100</v>
      </c>
      <c r="G50" s="377">
        <v>100</v>
      </c>
      <c r="H50" s="377">
        <v>100</v>
      </c>
    </row>
    <row r="51" spans="1:8">
      <c r="A51" s="69" t="s">
        <v>74</v>
      </c>
      <c r="B51" s="17" t="s">
        <v>75</v>
      </c>
      <c r="C51" s="18" t="s">
        <v>227</v>
      </c>
      <c r="D51" s="121">
        <v>200</v>
      </c>
      <c r="E51" s="18" t="s">
        <v>0</v>
      </c>
      <c r="F51" s="377">
        <v>100</v>
      </c>
      <c r="G51" s="377">
        <v>100</v>
      </c>
      <c r="H51" s="377">
        <v>100</v>
      </c>
    </row>
    <row r="52" spans="1:8">
      <c r="A52" s="69" t="s">
        <v>76</v>
      </c>
      <c r="B52" s="17" t="s">
        <v>77</v>
      </c>
      <c r="C52" s="18" t="s">
        <v>227</v>
      </c>
      <c r="D52" s="121">
        <v>200</v>
      </c>
      <c r="E52" s="18" t="s">
        <v>0</v>
      </c>
      <c r="F52" s="377">
        <v>100</v>
      </c>
      <c r="G52" s="377">
        <v>100</v>
      </c>
      <c r="H52" s="377">
        <v>100</v>
      </c>
    </row>
    <row r="53" spans="1:8">
      <c r="A53" s="68" t="s">
        <v>173</v>
      </c>
      <c r="B53" s="16" t="s">
        <v>294</v>
      </c>
      <c r="C53" s="15" t="s">
        <v>227</v>
      </c>
      <c r="D53" s="120">
        <f>D54</f>
        <v>15000</v>
      </c>
      <c r="E53" s="15" t="s">
        <v>0</v>
      </c>
      <c r="F53" s="376">
        <f>F54</f>
        <v>15000</v>
      </c>
      <c r="G53" s="376">
        <f>G54</f>
        <v>15000</v>
      </c>
      <c r="H53" s="376">
        <f>H54</f>
        <v>15000</v>
      </c>
    </row>
    <row r="54" spans="1:8">
      <c r="A54" s="69">
        <v>3721</v>
      </c>
      <c r="B54" s="17" t="s">
        <v>81</v>
      </c>
      <c r="C54" s="18" t="s">
        <v>227</v>
      </c>
      <c r="D54" s="121">
        <v>15000</v>
      </c>
      <c r="E54" s="18" t="s">
        <v>0</v>
      </c>
      <c r="F54" s="377">
        <v>15000</v>
      </c>
      <c r="G54" s="377">
        <v>15000</v>
      </c>
      <c r="H54" s="377">
        <v>15000</v>
      </c>
    </row>
    <row r="55" spans="1:8">
      <c r="A55" s="68" t="s">
        <v>78</v>
      </c>
      <c r="B55" s="16" t="s">
        <v>79</v>
      </c>
      <c r="C55" s="15" t="s">
        <v>227</v>
      </c>
      <c r="D55" s="120">
        <f>D56</f>
        <v>200000</v>
      </c>
      <c r="E55" s="15" t="s">
        <v>0</v>
      </c>
      <c r="F55" s="376">
        <f>F56</f>
        <v>700000</v>
      </c>
      <c r="G55" s="376">
        <f>G56</f>
        <v>200000</v>
      </c>
      <c r="H55" s="376">
        <f>H56</f>
        <v>200000</v>
      </c>
    </row>
    <row r="56" spans="1:8">
      <c r="A56" s="69" t="s">
        <v>80</v>
      </c>
      <c r="B56" s="17" t="s">
        <v>81</v>
      </c>
      <c r="C56" s="18" t="s">
        <v>227</v>
      </c>
      <c r="D56" s="121">
        <v>200000</v>
      </c>
      <c r="E56" s="18" t="s">
        <v>0</v>
      </c>
      <c r="F56" s="377">
        <v>700000</v>
      </c>
      <c r="G56" s="377">
        <v>200000</v>
      </c>
      <c r="H56" s="377">
        <v>200000</v>
      </c>
    </row>
    <row r="57" spans="1:8">
      <c r="A57" s="67" t="s">
        <v>163</v>
      </c>
      <c r="B57" s="23" t="s">
        <v>164</v>
      </c>
      <c r="C57" s="24" t="s">
        <v>227</v>
      </c>
      <c r="D57" s="119">
        <f>D58+D62</f>
        <v>170000</v>
      </c>
      <c r="E57" s="24" t="s">
        <v>0</v>
      </c>
      <c r="F57" s="375">
        <f>F58+F62</f>
        <v>85000</v>
      </c>
      <c r="G57" s="375">
        <f>G58+G62</f>
        <v>85000</v>
      </c>
      <c r="H57" s="375">
        <f>H58+H62</f>
        <v>90000</v>
      </c>
    </row>
    <row r="58" spans="1:8">
      <c r="A58" s="68" t="s">
        <v>34</v>
      </c>
      <c r="B58" s="16" t="s">
        <v>35</v>
      </c>
      <c r="C58" s="15" t="s">
        <v>227</v>
      </c>
      <c r="D58" s="120">
        <f>D59+D60+D61</f>
        <v>150000</v>
      </c>
      <c r="E58" s="15" t="s">
        <v>0</v>
      </c>
      <c r="F58" s="376">
        <f>F59+F60+F61</f>
        <v>65000</v>
      </c>
      <c r="G58" s="376">
        <f>G59+G60+G61</f>
        <v>65000</v>
      </c>
      <c r="H58" s="376">
        <f>H59+H60+H61</f>
        <v>70000</v>
      </c>
    </row>
    <row r="59" spans="1:8">
      <c r="A59" s="69" t="s">
        <v>40</v>
      </c>
      <c r="B59" s="17" t="s">
        <v>41</v>
      </c>
      <c r="C59" s="18" t="s">
        <v>227</v>
      </c>
      <c r="D59" s="121">
        <v>135000</v>
      </c>
      <c r="E59" s="18" t="s">
        <v>0</v>
      </c>
      <c r="F59" s="377">
        <v>50000</v>
      </c>
      <c r="G59" s="377">
        <v>50000</v>
      </c>
      <c r="H59" s="377">
        <v>50000</v>
      </c>
    </row>
    <row r="60" spans="1:8">
      <c r="A60" s="69" t="s">
        <v>48</v>
      </c>
      <c r="B60" s="17" t="s">
        <v>49</v>
      </c>
      <c r="C60" s="18" t="s">
        <v>227</v>
      </c>
      <c r="D60" s="121">
        <v>5000</v>
      </c>
      <c r="E60" s="18" t="s">
        <v>0</v>
      </c>
      <c r="F60" s="377">
        <v>5000</v>
      </c>
      <c r="G60" s="377">
        <v>5000</v>
      </c>
      <c r="H60" s="377">
        <v>10000</v>
      </c>
    </row>
    <row r="61" spans="1:8">
      <c r="A61" s="69" t="s">
        <v>52</v>
      </c>
      <c r="B61" s="17" t="s">
        <v>53</v>
      </c>
      <c r="C61" s="18" t="s">
        <v>227</v>
      </c>
      <c r="D61" s="121">
        <v>10000</v>
      </c>
      <c r="E61" s="18" t="s">
        <v>0</v>
      </c>
      <c r="F61" s="377">
        <v>10000</v>
      </c>
      <c r="G61" s="377">
        <v>10000</v>
      </c>
      <c r="H61" s="377">
        <v>10000</v>
      </c>
    </row>
    <row r="62" spans="1:8">
      <c r="A62" s="68" t="s">
        <v>57</v>
      </c>
      <c r="B62" s="16" t="s">
        <v>58</v>
      </c>
      <c r="C62" s="15" t="s">
        <v>227</v>
      </c>
      <c r="D62" s="120">
        <f>D63+D64</f>
        <v>20000</v>
      </c>
      <c r="E62" s="15" t="s">
        <v>0</v>
      </c>
      <c r="F62" s="376">
        <f>F63+F64</f>
        <v>20000</v>
      </c>
      <c r="G62" s="376">
        <f>G63+G64</f>
        <v>20000</v>
      </c>
      <c r="H62" s="376">
        <f>H63+H64</f>
        <v>20000</v>
      </c>
    </row>
    <row r="63" spans="1:8">
      <c r="A63" s="69" t="s">
        <v>63</v>
      </c>
      <c r="B63" s="17" t="s">
        <v>64</v>
      </c>
      <c r="C63" s="18" t="s">
        <v>227</v>
      </c>
      <c r="D63" s="121">
        <v>10000</v>
      </c>
      <c r="E63" s="18" t="s">
        <v>0</v>
      </c>
      <c r="F63" s="377">
        <v>10000</v>
      </c>
      <c r="G63" s="377">
        <v>10000</v>
      </c>
      <c r="H63" s="377">
        <v>10000</v>
      </c>
    </row>
    <row r="64" spans="1:8">
      <c r="A64" s="69" t="s">
        <v>69</v>
      </c>
      <c r="B64" s="17" t="s">
        <v>58</v>
      </c>
      <c r="C64" s="18" t="s">
        <v>227</v>
      </c>
      <c r="D64" s="121">
        <v>10000</v>
      </c>
      <c r="E64" s="18" t="s">
        <v>0</v>
      </c>
      <c r="F64" s="377">
        <v>10000</v>
      </c>
      <c r="G64" s="377">
        <v>10000</v>
      </c>
      <c r="H64" s="377">
        <v>10000</v>
      </c>
    </row>
    <row r="65" spans="1:8">
      <c r="A65" s="67" t="s">
        <v>165</v>
      </c>
      <c r="B65" s="23" t="s">
        <v>166</v>
      </c>
      <c r="C65" s="24" t="s">
        <v>227</v>
      </c>
      <c r="D65" s="119">
        <f>D66+D69+D73</f>
        <v>735000</v>
      </c>
      <c r="E65" s="24" t="s">
        <v>0</v>
      </c>
      <c r="F65" s="375">
        <f>F66+F69+F73</f>
        <v>2887200</v>
      </c>
      <c r="G65" s="375">
        <f>G66+G69+G73</f>
        <v>3137200</v>
      </c>
      <c r="H65" s="375">
        <f>H66+H69+H73</f>
        <v>3072200</v>
      </c>
    </row>
    <row r="66" spans="1:8">
      <c r="A66" s="68" t="s">
        <v>16</v>
      </c>
      <c r="B66" s="16" t="s">
        <v>17</v>
      </c>
      <c r="C66" s="15" t="s">
        <v>227</v>
      </c>
      <c r="D66" s="120">
        <f>D67+D68</f>
        <v>185000</v>
      </c>
      <c r="E66" s="15" t="s">
        <v>0</v>
      </c>
      <c r="F66" s="376">
        <f>F67+F68</f>
        <v>190000</v>
      </c>
      <c r="G66" s="376">
        <f>G67+G68</f>
        <v>190000</v>
      </c>
      <c r="H66" s="376">
        <f>H67+H68</f>
        <v>190000</v>
      </c>
    </row>
    <row r="67" spans="1:8">
      <c r="A67" s="69" t="s">
        <v>18</v>
      </c>
      <c r="B67" s="17" t="s">
        <v>19</v>
      </c>
      <c r="C67" s="18" t="s">
        <v>227</v>
      </c>
      <c r="D67" s="121">
        <v>180000</v>
      </c>
      <c r="E67" s="18" t="s">
        <v>0</v>
      </c>
      <c r="F67" s="377">
        <v>180000</v>
      </c>
      <c r="G67" s="377">
        <v>180000</v>
      </c>
      <c r="H67" s="377">
        <v>180000</v>
      </c>
    </row>
    <row r="68" spans="1:8">
      <c r="A68" s="69" t="s">
        <v>22</v>
      </c>
      <c r="B68" s="17" t="s">
        <v>23</v>
      </c>
      <c r="C68" s="18" t="s">
        <v>227</v>
      </c>
      <c r="D68" s="121">
        <v>5000</v>
      </c>
      <c r="E68" s="18" t="s">
        <v>0</v>
      </c>
      <c r="F68" s="377">
        <v>10000</v>
      </c>
      <c r="G68" s="377">
        <v>10000</v>
      </c>
      <c r="H68" s="377">
        <v>10000</v>
      </c>
    </row>
    <row r="69" spans="1:8">
      <c r="A69" s="68" t="s">
        <v>34</v>
      </c>
      <c r="B69" s="16" t="s">
        <v>35</v>
      </c>
      <c r="C69" s="15" t="s">
        <v>227</v>
      </c>
      <c r="D69" s="120">
        <f>D70+D71+D72</f>
        <v>530000</v>
      </c>
      <c r="E69" s="15" t="s">
        <v>0</v>
      </c>
      <c r="F69" s="376">
        <f>F70+F71+F72</f>
        <v>2677200</v>
      </c>
      <c r="G69" s="376">
        <f>G70+G71+G72</f>
        <v>2927200</v>
      </c>
      <c r="H69" s="376">
        <f>H70+H71+H72</f>
        <v>2862200</v>
      </c>
    </row>
    <row r="70" spans="1:8">
      <c r="A70" s="69" t="s">
        <v>40</v>
      </c>
      <c r="B70" s="17" t="s">
        <v>41</v>
      </c>
      <c r="C70" s="18" t="s">
        <v>227</v>
      </c>
      <c r="D70" s="121">
        <v>505000</v>
      </c>
      <c r="E70" s="18" t="s">
        <v>0</v>
      </c>
      <c r="F70" s="377">
        <v>2652200</v>
      </c>
      <c r="G70" s="377">
        <v>2902200</v>
      </c>
      <c r="H70" s="377">
        <v>2837200</v>
      </c>
    </row>
    <row r="71" spans="1:8">
      <c r="A71" s="69" t="s">
        <v>48</v>
      </c>
      <c r="B71" s="17" t="s">
        <v>49</v>
      </c>
      <c r="C71" s="18" t="s">
        <v>227</v>
      </c>
      <c r="D71" s="121">
        <v>10000</v>
      </c>
      <c r="E71" s="18" t="s">
        <v>0</v>
      </c>
      <c r="F71" s="377">
        <v>10000</v>
      </c>
      <c r="G71" s="377">
        <v>10000</v>
      </c>
      <c r="H71" s="377">
        <v>10000</v>
      </c>
    </row>
    <row r="72" spans="1:8">
      <c r="A72" s="69" t="s">
        <v>52</v>
      </c>
      <c r="B72" s="17" t="s">
        <v>53</v>
      </c>
      <c r="C72" s="18" t="s">
        <v>227</v>
      </c>
      <c r="D72" s="121">
        <v>15000</v>
      </c>
      <c r="E72" s="18" t="s">
        <v>0</v>
      </c>
      <c r="F72" s="377">
        <v>15000</v>
      </c>
      <c r="G72" s="377">
        <v>15000</v>
      </c>
      <c r="H72" s="377">
        <v>15000</v>
      </c>
    </row>
    <row r="73" spans="1:8">
      <c r="A73" s="68" t="s">
        <v>57</v>
      </c>
      <c r="B73" s="16" t="s">
        <v>58</v>
      </c>
      <c r="C73" s="15" t="s">
        <v>227</v>
      </c>
      <c r="D73" s="120">
        <f>D74+D75</f>
        <v>20000</v>
      </c>
      <c r="E73" s="15" t="s">
        <v>0</v>
      </c>
      <c r="F73" s="376">
        <f>F74+F75</f>
        <v>20000</v>
      </c>
      <c r="G73" s="376">
        <f>G74+G75</f>
        <v>20000</v>
      </c>
      <c r="H73" s="376">
        <f>H74+H75</f>
        <v>20000</v>
      </c>
    </row>
    <row r="74" spans="1:8">
      <c r="A74" s="69" t="s">
        <v>63</v>
      </c>
      <c r="B74" s="17" t="s">
        <v>64</v>
      </c>
      <c r="C74" s="18" t="s">
        <v>227</v>
      </c>
      <c r="D74" s="121">
        <v>10000</v>
      </c>
      <c r="E74" s="18" t="s">
        <v>0</v>
      </c>
      <c r="F74" s="377">
        <v>10000</v>
      </c>
      <c r="G74" s="377">
        <v>10000</v>
      </c>
      <c r="H74" s="377">
        <v>10000</v>
      </c>
    </row>
    <row r="75" spans="1:8">
      <c r="A75" s="69" t="s">
        <v>69</v>
      </c>
      <c r="B75" s="17" t="s">
        <v>58</v>
      </c>
      <c r="C75" s="18" t="s">
        <v>227</v>
      </c>
      <c r="D75" s="121">
        <v>10000</v>
      </c>
      <c r="E75" s="18" t="s">
        <v>0</v>
      </c>
      <c r="F75" s="377">
        <v>10000</v>
      </c>
      <c r="G75" s="377">
        <v>10000</v>
      </c>
      <c r="H75" s="377">
        <v>10000</v>
      </c>
    </row>
    <row r="76" spans="1:8">
      <c r="A76" s="67" t="s">
        <v>167</v>
      </c>
      <c r="B76" s="23" t="s">
        <v>168</v>
      </c>
      <c r="C76" s="24" t="s">
        <v>227</v>
      </c>
      <c r="D76" s="119">
        <f>D77+D80+D84</f>
        <v>300000</v>
      </c>
      <c r="E76" s="24" t="s">
        <v>0</v>
      </c>
      <c r="F76" s="375">
        <f>F77+F80+F84</f>
        <v>285000</v>
      </c>
      <c r="G76" s="375">
        <f>G77+G80+G84</f>
        <v>285000</v>
      </c>
      <c r="H76" s="375">
        <f>H77+H80+H84</f>
        <v>285000</v>
      </c>
    </row>
    <row r="77" spans="1:8">
      <c r="A77" s="68" t="s">
        <v>16</v>
      </c>
      <c r="B77" s="16" t="s">
        <v>17</v>
      </c>
      <c r="C77" s="15" t="s">
        <v>227</v>
      </c>
      <c r="D77" s="120">
        <f>D78+D79</f>
        <v>185000</v>
      </c>
      <c r="E77" s="15" t="s">
        <v>0</v>
      </c>
      <c r="F77" s="376">
        <f>F78+F79</f>
        <v>190000</v>
      </c>
      <c r="G77" s="376">
        <f>G78+G79</f>
        <v>190000</v>
      </c>
      <c r="H77" s="376">
        <f>H78+H79</f>
        <v>190000</v>
      </c>
    </row>
    <row r="78" spans="1:8">
      <c r="A78" s="69" t="s">
        <v>18</v>
      </c>
      <c r="B78" s="17" t="s">
        <v>19</v>
      </c>
      <c r="C78" s="18" t="s">
        <v>227</v>
      </c>
      <c r="D78" s="121">
        <v>180000</v>
      </c>
      <c r="E78" s="18" t="s">
        <v>0</v>
      </c>
      <c r="F78" s="377">
        <v>180000</v>
      </c>
      <c r="G78" s="377">
        <v>180000</v>
      </c>
      <c r="H78" s="377">
        <v>180000</v>
      </c>
    </row>
    <row r="79" spans="1:8">
      <c r="A79" s="69" t="s">
        <v>22</v>
      </c>
      <c r="B79" s="17" t="s">
        <v>23</v>
      </c>
      <c r="C79" s="18" t="s">
        <v>227</v>
      </c>
      <c r="D79" s="121">
        <v>5000</v>
      </c>
      <c r="E79" s="18" t="s">
        <v>0</v>
      </c>
      <c r="F79" s="377">
        <v>10000</v>
      </c>
      <c r="G79" s="377">
        <v>10000</v>
      </c>
      <c r="H79" s="377">
        <v>10000</v>
      </c>
    </row>
    <row r="80" spans="1:8">
      <c r="A80" s="68" t="s">
        <v>34</v>
      </c>
      <c r="B80" s="16" t="s">
        <v>35</v>
      </c>
      <c r="C80" s="15" t="s">
        <v>227</v>
      </c>
      <c r="D80" s="120">
        <f>D81+D82+D83</f>
        <v>95000</v>
      </c>
      <c r="E80" s="15" t="s">
        <v>0</v>
      </c>
      <c r="F80" s="376">
        <f>F81+F82+F83</f>
        <v>75000</v>
      </c>
      <c r="G80" s="376">
        <f>G81+G82+G83</f>
        <v>75000</v>
      </c>
      <c r="H80" s="376">
        <f>H81+H82+H83</f>
        <v>75000</v>
      </c>
    </row>
    <row r="81" spans="1:8">
      <c r="A81" s="69" t="s">
        <v>40</v>
      </c>
      <c r="B81" s="17" t="s">
        <v>41</v>
      </c>
      <c r="C81" s="18" t="s">
        <v>227</v>
      </c>
      <c r="D81" s="121">
        <v>70000</v>
      </c>
      <c r="E81" s="18" t="s">
        <v>0</v>
      </c>
      <c r="F81" s="377">
        <v>50000</v>
      </c>
      <c r="G81" s="377">
        <v>50000</v>
      </c>
      <c r="H81" s="377">
        <v>50000</v>
      </c>
    </row>
    <row r="82" spans="1:8">
      <c r="A82" s="69" t="s">
        <v>48</v>
      </c>
      <c r="B82" s="17" t="s">
        <v>49</v>
      </c>
      <c r="C82" s="18" t="s">
        <v>227</v>
      </c>
      <c r="D82" s="121">
        <v>10000</v>
      </c>
      <c r="E82" s="18" t="s">
        <v>0</v>
      </c>
      <c r="F82" s="377">
        <v>10000</v>
      </c>
      <c r="G82" s="377">
        <v>10000</v>
      </c>
      <c r="H82" s="377">
        <v>10000</v>
      </c>
    </row>
    <row r="83" spans="1:8">
      <c r="A83" s="69" t="s">
        <v>52</v>
      </c>
      <c r="B83" s="17" t="s">
        <v>53</v>
      </c>
      <c r="C83" s="18" t="s">
        <v>227</v>
      </c>
      <c r="D83" s="121">
        <v>15000</v>
      </c>
      <c r="E83" s="18" t="s">
        <v>0</v>
      </c>
      <c r="F83" s="377">
        <v>15000</v>
      </c>
      <c r="G83" s="377">
        <v>15000</v>
      </c>
      <c r="H83" s="377">
        <v>15000</v>
      </c>
    </row>
    <row r="84" spans="1:8">
      <c r="A84" s="68" t="s">
        <v>57</v>
      </c>
      <c r="B84" s="16" t="s">
        <v>58</v>
      </c>
      <c r="C84" s="15" t="s">
        <v>227</v>
      </c>
      <c r="D84" s="120">
        <f>D85+D86</f>
        <v>20000</v>
      </c>
      <c r="E84" s="15" t="s">
        <v>0</v>
      </c>
      <c r="F84" s="376">
        <f>F85+F86</f>
        <v>20000</v>
      </c>
      <c r="G84" s="376">
        <f>G85+G86</f>
        <v>20000</v>
      </c>
      <c r="H84" s="376">
        <f>H85+H86</f>
        <v>20000</v>
      </c>
    </row>
    <row r="85" spans="1:8">
      <c r="A85" s="69" t="s">
        <v>63</v>
      </c>
      <c r="B85" s="17" t="s">
        <v>64</v>
      </c>
      <c r="C85" s="18" t="s">
        <v>227</v>
      </c>
      <c r="D85" s="121">
        <v>10000</v>
      </c>
      <c r="E85" s="18" t="s">
        <v>0</v>
      </c>
      <c r="F85" s="377">
        <v>10000</v>
      </c>
      <c r="G85" s="377">
        <v>10000</v>
      </c>
      <c r="H85" s="377">
        <v>10000</v>
      </c>
    </row>
    <row r="86" spans="1:8">
      <c r="A86" s="69" t="s">
        <v>69</v>
      </c>
      <c r="B86" s="17" t="s">
        <v>58</v>
      </c>
      <c r="C86" s="18" t="s">
        <v>227</v>
      </c>
      <c r="D86" s="121">
        <v>10000</v>
      </c>
      <c r="E86" s="18" t="s">
        <v>0</v>
      </c>
      <c r="F86" s="377">
        <v>10000</v>
      </c>
      <c r="G86" s="377">
        <v>10000</v>
      </c>
      <c r="H86" s="377">
        <v>10000</v>
      </c>
    </row>
    <row r="87" spans="1:8">
      <c r="A87" s="67" t="s">
        <v>169</v>
      </c>
      <c r="B87" s="23" t="s">
        <v>170</v>
      </c>
      <c r="C87" s="24" t="s">
        <v>227</v>
      </c>
      <c r="D87" s="119">
        <f>D88+D90+D96+D94</f>
        <v>155000</v>
      </c>
      <c r="E87" s="24" t="s">
        <v>0</v>
      </c>
      <c r="F87" s="375">
        <f>F88+F90+F96+F94</f>
        <v>98000</v>
      </c>
      <c r="G87" s="375">
        <f>G88+G90+G96+G94</f>
        <v>98000</v>
      </c>
      <c r="H87" s="375">
        <f>H88+H90+H96+H94</f>
        <v>98000</v>
      </c>
    </row>
    <row r="88" spans="1:8">
      <c r="A88" s="68" t="s">
        <v>83</v>
      </c>
      <c r="B88" s="16" t="s">
        <v>84</v>
      </c>
      <c r="C88" s="15" t="s">
        <v>227</v>
      </c>
      <c r="D88" s="120">
        <f>D89</f>
        <v>58000</v>
      </c>
      <c r="E88" s="15" t="s">
        <v>0</v>
      </c>
      <c r="F88" s="376">
        <f>F89</f>
        <v>58000</v>
      </c>
      <c r="G88" s="376">
        <f>G89</f>
        <v>58000</v>
      </c>
      <c r="H88" s="376">
        <f>H89</f>
        <v>58000</v>
      </c>
    </row>
    <row r="89" spans="1:8">
      <c r="A89" s="69" t="s">
        <v>85</v>
      </c>
      <c r="B89" s="17" t="s">
        <v>86</v>
      </c>
      <c r="C89" s="18" t="s">
        <v>227</v>
      </c>
      <c r="D89" s="121">
        <v>58000</v>
      </c>
      <c r="E89" s="18" t="s">
        <v>0</v>
      </c>
      <c r="F89" s="377">
        <v>58000</v>
      </c>
      <c r="G89" s="377">
        <v>58000</v>
      </c>
      <c r="H89" s="377">
        <v>58000</v>
      </c>
    </row>
    <row r="90" spans="1:8">
      <c r="A90" s="68" t="s">
        <v>88</v>
      </c>
      <c r="B90" s="16" t="s">
        <v>89</v>
      </c>
      <c r="C90" s="15" t="s">
        <v>227</v>
      </c>
      <c r="D90" s="120">
        <f>D91+D92+D93</f>
        <v>35000</v>
      </c>
      <c r="E90" s="15" t="s">
        <v>0</v>
      </c>
      <c r="F90" s="376">
        <f>F91+F92+F93</f>
        <v>35000</v>
      </c>
      <c r="G90" s="376">
        <f>G91+G92+G93</f>
        <v>35000</v>
      </c>
      <c r="H90" s="376">
        <f>H91+H92+H93</f>
        <v>35000</v>
      </c>
    </row>
    <row r="91" spans="1:8">
      <c r="A91" s="69" t="s">
        <v>90</v>
      </c>
      <c r="B91" s="17" t="s">
        <v>91</v>
      </c>
      <c r="C91" s="18" t="s">
        <v>227</v>
      </c>
      <c r="D91" s="121">
        <v>30000</v>
      </c>
      <c r="E91" s="18" t="s">
        <v>0</v>
      </c>
      <c r="F91" s="377">
        <v>30000</v>
      </c>
      <c r="G91" s="377">
        <v>30000</v>
      </c>
      <c r="H91" s="377">
        <v>30000</v>
      </c>
    </row>
    <row r="92" spans="1:8">
      <c r="A92" s="69" t="s">
        <v>92</v>
      </c>
      <c r="B92" s="17" t="s">
        <v>93</v>
      </c>
      <c r="C92" s="18" t="s">
        <v>227</v>
      </c>
      <c r="D92" s="121">
        <v>5000</v>
      </c>
      <c r="E92" s="18" t="s">
        <v>0</v>
      </c>
      <c r="F92" s="377">
        <v>5000</v>
      </c>
      <c r="G92" s="377">
        <v>5000</v>
      </c>
      <c r="H92" s="377">
        <v>5000</v>
      </c>
    </row>
    <row r="93" spans="1:8">
      <c r="A93" s="69" t="s">
        <v>171</v>
      </c>
      <c r="B93" s="17" t="s">
        <v>172</v>
      </c>
      <c r="C93" s="18" t="s">
        <v>227</v>
      </c>
      <c r="D93" s="121">
        <v>0</v>
      </c>
      <c r="E93" s="18" t="s">
        <v>0</v>
      </c>
      <c r="F93" s="377">
        <v>0</v>
      </c>
      <c r="G93" s="377">
        <v>0</v>
      </c>
      <c r="H93" s="377">
        <v>0</v>
      </c>
    </row>
    <row r="94" spans="1:8">
      <c r="A94" s="68" t="s">
        <v>295</v>
      </c>
      <c r="B94" s="16" t="s">
        <v>296</v>
      </c>
      <c r="C94" s="15" t="s">
        <v>227</v>
      </c>
      <c r="D94" s="120">
        <f>D95</f>
        <v>60000</v>
      </c>
      <c r="E94" s="15" t="s">
        <v>0</v>
      </c>
      <c r="F94" s="376">
        <f>F95</f>
        <v>0</v>
      </c>
      <c r="G94" s="376">
        <f>G95</f>
        <v>0</v>
      </c>
      <c r="H94" s="376">
        <f>H95</f>
        <v>0</v>
      </c>
    </row>
    <row r="95" spans="1:8">
      <c r="A95" s="69">
        <v>4231</v>
      </c>
      <c r="B95" s="17" t="s">
        <v>297</v>
      </c>
      <c r="C95" s="18" t="s">
        <v>227</v>
      </c>
      <c r="D95" s="121">
        <v>60000</v>
      </c>
      <c r="E95" s="18" t="s">
        <v>0</v>
      </c>
      <c r="F95" s="377">
        <v>0</v>
      </c>
      <c r="G95" s="377">
        <v>0</v>
      </c>
      <c r="H95" s="377">
        <v>0</v>
      </c>
    </row>
    <row r="96" spans="1:8">
      <c r="A96" s="68" t="s">
        <v>140</v>
      </c>
      <c r="B96" s="16" t="s">
        <v>141</v>
      </c>
      <c r="C96" s="15" t="s">
        <v>227</v>
      </c>
      <c r="D96" s="120">
        <f>D97</f>
        <v>2000</v>
      </c>
      <c r="E96" s="15" t="s">
        <v>0</v>
      </c>
      <c r="F96" s="376">
        <f>F97</f>
        <v>5000</v>
      </c>
      <c r="G96" s="376">
        <f>G97</f>
        <v>5000</v>
      </c>
      <c r="H96" s="376">
        <f>H97</f>
        <v>5000</v>
      </c>
    </row>
    <row r="97" spans="1:8">
      <c r="A97" s="69" t="s">
        <v>142</v>
      </c>
      <c r="B97" s="17" t="s">
        <v>143</v>
      </c>
      <c r="C97" s="18" t="s">
        <v>227</v>
      </c>
      <c r="D97" s="121">
        <v>2000</v>
      </c>
      <c r="E97" s="18" t="s">
        <v>0</v>
      </c>
      <c r="F97" s="377">
        <v>5000</v>
      </c>
      <c r="G97" s="377">
        <v>5000</v>
      </c>
      <c r="H97" s="377">
        <v>5000</v>
      </c>
    </row>
    <row r="98" spans="1:8">
      <c r="A98" s="67" t="s">
        <v>244</v>
      </c>
      <c r="B98" s="23" t="s">
        <v>183</v>
      </c>
      <c r="C98" s="24"/>
      <c r="D98" s="119">
        <f>D99+D102+D106</f>
        <v>450000</v>
      </c>
      <c r="E98" s="24" t="s">
        <v>0</v>
      </c>
      <c r="F98" s="375">
        <f>F99+F102+F106</f>
        <v>285000</v>
      </c>
      <c r="G98" s="375">
        <f>G99+G102+G106</f>
        <v>285000</v>
      </c>
      <c r="H98" s="375">
        <f>H99+H102+H106</f>
        <v>285000</v>
      </c>
    </row>
    <row r="99" spans="1:8">
      <c r="A99" s="68" t="s">
        <v>16</v>
      </c>
      <c r="B99" s="16" t="s">
        <v>17</v>
      </c>
      <c r="C99" s="15" t="s">
        <v>227</v>
      </c>
      <c r="D99" s="120">
        <f>D100+D101</f>
        <v>250000</v>
      </c>
      <c r="E99" s="15" t="s">
        <v>0</v>
      </c>
      <c r="F99" s="376">
        <f>F100+F101</f>
        <v>190000</v>
      </c>
      <c r="G99" s="376">
        <f>G100+G101</f>
        <v>190000</v>
      </c>
      <c r="H99" s="376">
        <f>H100+H101</f>
        <v>190000</v>
      </c>
    </row>
    <row r="100" spans="1:8">
      <c r="A100" s="69" t="s">
        <v>18</v>
      </c>
      <c r="B100" s="17" t="s">
        <v>19</v>
      </c>
      <c r="C100" s="18" t="s">
        <v>227</v>
      </c>
      <c r="D100" s="121">
        <v>190000</v>
      </c>
      <c r="E100" s="18" t="s">
        <v>0</v>
      </c>
      <c r="F100" s="377">
        <v>180000</v>
      </c>
      <c r="G100" s="377">
        <v>180000</v>
      </c>
      <c r="H100" s="377">
        <v>180000</v>
      </c>
    </row>
    <row r="101" spans="1:8">
      <c r="A101" s="69" t="s">
        <v>22</v>
      </c>
      <c r="B101" s="17" t="s">
        <v>23</v>
      </c>
      <c r="C101" s="18" t="s">
        <v>227</v>
      </c>
      <c r="D101" s="121">
        <v>60000</v>
      </c>
      <c r="E101" s="18" t="s">
        <v>0</v>
      </c>
      <c r="F101" s="377">
        <v>10000</v>
      </c>
      <c r="G101" s="377">
        <v>10000</v>
      </c>
      <c r="H101" s="377">
        <v>10000</v>
      </c>
    </row>
    <row r="102" spans="1:8">
      <c r="A102" s="68" t="s">
        <v>34</v>
      </c>
      <c r="B102" s="16" t="s">
        <v>35</v>
      </c>
      <c r="C102" s="15" t="s">
        <v>227</v>
      </c>
      <c r="D102" s="120">
        <f>D103+D104+D105</f>
        <v>185000</v>
      </c>
      <c r="E102" s="15" t="s">
        <v>0</v>
      </c>
      <c r="F102" s="376">
        <f>F103+F104+F105</f>
        <v>75000</v>
      </c>
      <c r="G102" s="376">
        <f>G103+G104+G105</f>
        <v>75000</v>
      </c>
      <c r="H102" s="376">
        <f>H103+H104+H105</f>
        <v>75000</v>
      </c>
    </row>
    <row r="103" spans="1:8">
      <c r="A103" s="69" t="s">
        <v>40</v>
      </c>
      <c r="B103" s="17" t="s">
        <v>41</v>
      </c>
      <c r="C103" s="18" t="s">
        <v>227</v>
      </c>
      <c r="D103" s="121">
        <v>100000</v>
      </c>
      <c r="E103" s="18" t="s">
        <v>0</v>
      </c>
      <c r="F103" s="377">
        <v>50000</v>
      </c>
      <c r="G103" s="377">
        <v>50000</v>
      </c>
      <c r="H103" s="377">
        <v>50000</v>
      </c>
    </row>
    <row r="104" spans="1:8">
      <c r="A104" s="69" t="s">
        <v>48</v>
      </c>
      <c r="B104" s="17" t="s">
        <v>49</v>
      </c>
      <c r="C104" s="18" t="s">
        <v>227</v>
      </c>
      <c r="D104" s="121">
        <v>70000</v>
      </c>
      <c r="E104" s="18" t="s">
        <v>0</v>
      </c>
      <c r="F104" s="377">
        <v>10000</v>
      </c>
      <c r="G104" s="377">
        <v>10000</v>
      </c>
      <c r="H104" s="377">
        <v>10000</v>
      </c>
    </row>
    <row r="105" spans="1:8">
      <c r="A105" s="69" t="s">
        <v>52</v>
      </c>
      <c r="B105" s="17" t="s">
        <v>53</v>
      </c>
      <c r="C105" s="18" t="s">
        <v>227</v>
      </c>
      <c r="D105" s="121">
        <v>15000</v>
      </c>
      <c r="E105" s="18" t="s">
        <v>0</v>
      </c>
      <c r="F105" s="377">
        <v>15000</v>
      </c>
      <c r="G105" s="377">
        <v>15000</v>
      </c>
      <c r="H105" s="377">
        <v>15000</v>
      </c>
    </row>
    <row r="106" spans="1:8">
      <c r="A106" s="68" t="s">
        <v>57</v>
      </c>
      <c r="B106" s="16" t="s">
        <v>58</v>
      </c>
      <c r="C106" s="15" t="s">
        <v>227</v>
      </c>
      <c r="D106" s="120">
        <f>D107+D108</f>
        <v>15000</v>
      </c>
      <c r="E106" s="15" t="s">
        <v>0</v>
      </c>
      <c r="F106" s="376">
        <f>F107+F108</f>
        <v>20000</v>
      </c>
      <c r="G106" s="376">
        <f>G107+G108</f>
        <v>20000</v>
      </c>
      <c r="H106" s="376">
        <f>H107+H108</f>
        <v>20000</v>
      </c>
    </row>
    <row r="107" spans="1:8">
      <c r="A107" s="69" t="s">
        <v>63</v>
      </c>
      <c r="B107" s="17" t="s">
        <v>64</v>
      </c>
      <c r="C107" s="18" t="s">
        <v>227</v>
      </c>
      <c r="D107" s="121">
        <v>5000</v>
      </c>
      <c r="E107" s="18" t="s">
        <v>0</v>
      </c>
      <c r="F107" s="377">
        <v>10000</v>
      </c>
      <c r="G107" s="377">
        <v>10000</v>
      </c>
      <c r="H107" s="377">
        <v>10000</v>
      </c>
    </row>
    <row r="108" spans="1:8">
      <c r="A108" s="69" t="s">
        <v>69</v>
      </c>
      <c r="B108" s="17" t="s">
        <v>58</v>
      </c>
      <c r="C108" s="18" t="s">
        <v>227</v>
      </c>
      <c r="D108" s="121">
        <v>10000</v>
      </c>
      <c r="E108" s="18" t="s">
        <v>0</v>
      </c>
      <c r="F108" s="377">
        <v>10000</v>
      </c>
      <c r="G108" s="377">
        <v>10000</v>
      </c>
      <c r="H108" s="377">
        <v>10000</v>
      </c>
    </row>
    <row r="109" spans="1:8">
      <c r="A109" s="67" t="s">
        <v>245</v>
      </c>
      <c r="B109" s="95" t="s">
        <v>151</v>
      </c>
      <c r="C109" s="96"/>
      <c r="D109" s="119">
        <f>D110+D112</f>
        <v>95000</v>
      </c>
      <c r="E109" s="24" t="s">
        <v>0</v>
      </c>
      <c r="F109" s="375">
        <f>F110+F112</f>
        <v>55000</v>
      </c>
      <c r="G109" s="375">
        <f>G110+G112</f>
        <v>55000</v>
      </c>
      <c r="H109" s="375">
        <f>H110+H112</f>
        <v>55000</v>
      </c>
    </row>
    <row r="110" spans="1:8">
      <c r="A110" s="68" t="s">
        <v>16</v>
      </c>
      <c r="B110" s="16" t="s">
        <v>17</v>
      </c>
      <c r="C110" s="15" t="s">
        <v>227</v>
      </c>
      <c r="D110" s="120">
        <f>D111</f>
        <v>90000</v>
      </c>
      <c r="E110" s="15" t="s">
        <v>0</v>
      </c>
      <c r="F110" s="376">
        <f>F111</f>
        <v>50000</v>
      </c>
      <c r="G110" s="376">
        <f>G111</f>
        <v>50000</v>
      </c>
      <c r="H110" s="376">
        <f>H111</f>
        <v>50000</v>
      </c>
    </row>
    <row r="111" spans="1:8">
      <c r="A111" s="69" t="s">
        <v>18</v>
      </c>
      <c r="B111" s="17" t="s">
        <v>19</v>
      </c>
      <c r="C111" s="18" t="s">
        <v>227</v>
      </c>
      <c r="D111" s="121">
        <v>90000</v>
      </c>
      <c r="E111" s="18" t="s">
        <v>0</v>
      </c>
      <c r="F111" s="377">
        <v>50000</v>
      </c>
      <c r="G111" s="377">
        <v>50000</v>
      </c>
      <c r="H111" s="377">
        <v>50000</v>
      </c>
    </row>
    <row r="112" spans="1:8">
      <c r="A112" s="68" t="s">
        <v>34</v>
      </c>
      <c r="B112" s="16" t="s">
        <v>35</v>
      </c>
      <c r="C112" s="15" t="s">
        <v>227</v>
      </c>
      <c r="D112" s="120">
        <f>D113</f>
        <v>5000</v>
      </c>
      <c r="E112" s="15" t="s">
        <v>0</v>
      </c>
      <c r="F112" s="376">
        <f>F113</f>
        <v>5000</v>
      </c>
      <c r="G112" s="376">
        <f>G113</f>
        <v>5000</v>
      </c>
      <c r="H112" s="376">
        <f>H113</f>
        <v>5000</v>
      </c>
    </row>
    <row r="113" spans="1:8">
      <c r="A113" s="69" t="s">
        <v>48</v>
      </c>
      <c r="B113" s="17" t="s">
        <v>49</v>
      </c>
      <c r="C113" s="18" t="s">
        <v>227</v>
      </c>
      <c r="D113" s="121">
        <v>5000</v>
      </c>
      <c r="E113" s="18" t="s">
        <v>0</v>
      </c>
      <c r="F113" s="377">
        <v>5000</v>
      </c>
      <c r="G113" s="377">
        <v>5000</v>
      </c>
      <c r="H113" s="377">
        <v>5000</v>
      </c>
    </row>
    <row r="114" spans="1:8">
      <c r="A114" s="67" t="s">
        <v>307</v>
      </c>
      <c r="B114" s="95" t="s">
        <v>308</v>
      </c>
      <c r="C114" s="96"/>
      <c r="D114" s="119">
        <f>D115+D117</f>
        <v>0</v>
      </c>
      <c r="E114" s="24"/>
      <c r="F114" s="375">
        <f>F116+F118</f>
        <v>890000</v>
      </c>
      <c r="G114" s="375">
        <f t="shared" ref="G114:H114" si="3">G116+G118</f>
        <v>0</v>
      </c>
      <c r="H114" s="375">
        <f t="shared" si="3"/>
        <v>0</v>
      </c>
    </row>
    <row r="115" spans="1:8">
      <c r="A115" s="68" t="s">
        <v>34</v>
      </c>
      <c r="B115" s="16" t="s">
        <v>35</v>
      </c>
      <c r="C115" s="15" t="s">
        <v>227</v>
      </c>
      <c r="D115" s="120">
        <f>D116</f>
        <v>0</v>
      </c>
      <c r="E115" s="15" t="s">
        <v>235</v>
      </c>
      <c r="F115" s="376">
        <f>F116</f>
        <v>800000</v>
      </c>
      <c r="G115" s="376">
        <f>G116</f>
        <v>0</v>
      </c>
      <c r="H115" s="376">
        <f>H116</f>
        <v>0</v>
      </c>
    </row>
    <row r="116" spans="1:8">
      <c r="A116" s="69">
        <v>3237</v>
      </c>
      <c r="B116" s="17" t="s">
        <v>49</v>
      </c>
      <c r="C116" s="18" t="s">
        <v>227</v>
      </c>
      <c r="D116" s="121">
        <v>0</v>
      </c>
      <c r="E116" s="18" t="s">
        <v>235</v>
      </c>
      <c r="F116" s="377">
        <v>800000</v>
      </c>
      <c r="G116" s="377"/>
      <c r="H116" s="377"/>
    </row>
    <row r="117" spans="1:8">
      <c r="A117" s="68" t="s">
        <v>34</v>
      </c>
      <c r="B117" s="16" t="s">
        <v>35</v>
      </c>
      <c r="C117" s="15" t="s">
        <v>227</v>
      </c>
      <c r="D117" s="120">
        <f>D118</f>
        <v>0</v>
      </c>
      <c r="E117" s="15" t="s">
        <v>82</v>
      </c>
      <c r="F117" s="376">
        <f>F118</f>
        <v>90000</v>
      </c>
      <c r="G117" s="376">
        <f>G118</f>
        <v>0</v>
      </c>
      <c r="H117" s="376">
        <f>H118</f>
        <v>0</v>
      </c>
    </row>
    <row r="118" spans="1:8">
      <c r="A118" s="69" t="s">
        <v>48</v>
      </c>
      <c r="B118" s="17" t="s">
        <v>49</v>
      </c>
      <c r="C118" s="18" t="s">
        <v>227</v>
      </c>
      <c r="D118" s="121">
        <v>0</v>
      </c>
      <c r="E118" s="18" t="s">
        <v>82</v>
      </c>
      <c r="F118" s="377">
        <v>90000</v>
      </c>
      <c r="G118" s="377"/>
      <c r="H118" s="377"/>
    </row>
  </sheetData>
  <customSheetViews>
    <customSheetView guid="{DE360DA9-5353-4F03-95DA-9238CFBE39D8}" scale="110" showPageBreaks="1" printArea="1" state="hidden">
      <pane ySplit="12" topLeftCell="A13" activePane="bottomLeft" state="frozen"/>
      <selection pane="bottomLeft" activeCell="F3" sqref="F3:H3"/>
      <rowBreaks count="3" manualBreakCount="3">
        <brk id="32" max="7" man="1"/>
        <brk id="64" max="7" man="1"/>
        <brk id="9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1"/>
      <headerFooter>
        <oddFooter>&amp;CA I K&amp;R&amp;P</oddFooter>
      </headerFooter>
    </customSheetView>
    <customSheetView guid="{4FFB33FE-6696-4144-BF99-378C5196B940}" scale="110" showPageBreaks="1" printArea="1" state="hidden">
      <pane ySplit="12" topLeftCell="A13" activePane="bottomLeft" state="frozen"/>
      <selection pane="bottomLeft" activeCell="F3" sqref="F3:H3"/>
      <rowBreaks count="3" manualBreakCount="3">
        <brk id="32" max="7" man="1"/>
        <brk id="64" max="7" man="1"/>
        <brk id="9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2"/>
      <headerFooter>
        <oddFooter>&amp;CA I K&amp;R&amp;P</oddFooter>
      </headerFooter>
    </customSheetView>
    <customSheetView guid="{3D59341C-00F4-4635-AC4F-8988CF6BE637}" scale="110" state="hidden">
      <pane ySplit="12" topLeftCell="A13" activePane="bottomLeft" state="frozen"/>
      <selection pane="bottomLeft" activeCell="F3" sqref="F3:H3"/>
      <rowBreaks count="3" manualBreakCount="3">
        <brk id="32" max="7" man="1"/>
        <brk id="64" max="7" man="1"/>
        <brk id="9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3"/>
      <headerFooter>
        <oddFooter>&amp;CA I K&amp;R&amp;P</oddFooter>
      </headerFooter>
    </customSheetView>
    <customSheetView guid="{5251AB89-31D9-4C6C-945A-13C9748C2E26}" scale="110" state="hidden">
      <pane ySplit="12" topLeftCell="A13" activePane="bottomLeft" state="frozen"/>
      <selection pane="bottomLeft" activeCell="F3" sqref="F3:H3"/>
      <rowBreaks count="3" manualBreakCount="3">
        <brk id="32" max="7" man="1"/>
        <brk id="64" max="7" man="1"/>
        <brk id="9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4"/>
      <headerFooter>
        <oddFooter>&amp;CA I K&amp;R&amp;P</oddFooter>
      </headerFooter>
    </customSheetView>
    <customSheetView guid="{14A1FC8C-94B5-4B4E-9269-30661976D1D1}" scale="110" state="hidden">
      <pane ySplit="12" topLeftCell="A13" activePane="bottomLeft" state="frozen"/>
      <selection pane="bottomLeft" activeCell="F3" sqref="F3:H3"/>
      <rowBreaks count="3" manualBreakCount="3">
        <brk id="32" max="7" man="1"/>
        <brk id="64" max="7" man="1"/>
        <brk id="9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5"/>
      <headerFooter>
        <oddFooter>&amp;CA I K&amp;R&amp;P</oddFooter>
      </headerFooter>
    </customSheetView>
    <customSheetView guid="{D0F51479-7B68-4FFC-8604-F0A17468B00E}" scale="110" state="hidden">
      <pane ySplit="12" topLeftCell="A13" activePane="bottomLeft" state="frozen"/>
      <selection pane="bottomLeft" activeCell="F3" sqref="F3:H3"/>
      <rowBreaks count="3" manualBreakCount="3">
        <brk id="32" max="7" man="1"/>
        <brk id="64" max="7" man="1"/>
        <brk id="9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6"/>
      <headerFooter>
        <oddFooter>&amp;CA I K&amp;R&amp;P</oddFooter>
      </headerFooter>
    </customSheetView>
    <customSheetView guid="{0D7CE69A-AF67-471F-AE1C-92FEF35D1955}" scale="110" showPageBreaks="1" printArea="1" state="hidden">
      <pane ySplit="12" topLeftCell="A13" activePane="bottomLeft" state="frozen"/>
      <selection pane="bottomLeft" activeCell="F3" sqref="F3:H3"/>
      <rowBreaks count="3" manualBreakCount="3">
        <brk id="32" max="7" man="1"/>
        <brk id="64" max="7" man="1"/>
        <brk id="9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7"/>
      <headerFooter>
        <oddFooter>&amp;CA I K&amp;R&amp;P</oddFooter>
      </headerFooter>
    </customSheetView>
    <customSheetView guid="{3EC3B099-A84F-48D2-A97E-B7686AB72BE7}" scale="110" showPageBreaks="1" printArea="1" state="hidden">
      <pane ySplit="12" topLeftCell="A13" activePane="bottomLeft" state="frozen"/>
      <selection pane="bottomLeft" activeCell="F3" sqref="F3:H3"/>
      <rowBreaks count="3" manualBreakCount="3">
        <brk id="32" max="7" man="1"/>
        <brk id="64" max="7" man="1"/>
        <brk id="9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8"/>
      <headerFooter>
        <oddFooter>&amp;CA I K&amp;R&amp;P</oddFooter>
      </headerFooter>
    </customSheetView>
  </customSheetViews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9"/>
  <headerFooter>
    <oddFooter>&amp;CA I K&amp;R&amp;P</oddFooter>
  </headerFooter>
  <rowBreaks count="3" manualBreakCount="3">
    <brk id="32" max="7" man="1"/>
    <brk id="64" max="7" man="1"/>
    <brk id="9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5"/>
  <sheetViews>
    <sheetView zoomScale="110" zoomScaleNormal="110" zoomScaleSheetLayoutView="100" workbookViewId="0">
      <pane ySplit="12" topLeftCell="A13" activePane="bottomLeft" state="frozen"/>
      <selection pane="bottomLeft" activeCell="F3" sqref="F3:H3"/>
    </sheetView>
  </sheetViews>
  <sheetFormatPr defaultRowHeight="15"/>
  <cols>
    <col min="1" max="1" width="10.7109375" style="61" customWidth="1"/>
    <col min="2" max="2" width="50.7109375" customWidth="1"/>
    <col min="3" max="3" width="5.7109375" customWidth="1"/>
    <col min="4" max="4" width="14.7109375" customWidth="1"/>
    <col min="5" max="5" width="5.7109375" customWidth="1"/>
    <col min="6" max="7" width="16.7109375" style="148" customWidth="1"/>
    <col min="8" max="8" width="16.7109375" customWidth="1"/>
    <col min="9" max="9" width="13.42578125" customWidth="1"/>
    <col min="10" max="10" width="15.140625" customWidth="1"/>
    <col min="11" max="11" width="12.7109375" customWidth="1"/>
  </cols>
  <sheetData>
    <row r="1" spans="1:11" ht="30" customHeight="1">
      <c r="A1" s="76"/>
      <c r="B1" s="77"/>
      <c r="C1" s="78" t="s">
        <v>220</v>
      </c>
      <c r="D1" s="78" t="s">
        <v>302</v>
      </c>
      <c r="E1" s="78" t="s">
        <v>180</v>
      </c>
      <c r="F1" s="73" t="s">
        <v>398</v>
      </c>
      <c r="G1" s="73" t="s">
        <v>399</v>
      </c>
      <c r="H1" s="287" t="s">
        <v>400</v>
      </c>
    </row>
    <row r="2" spans="1:11" ht="25.5" customHeight="1">
      <c r="A2" s="79" t="s">
        <v>117</v>
      </c>
      <c r="B2" s="83" t="s">
        <v>118</v>
      </c>
      <c r="C2" s="81"/>
      <c r="D2" s="82">
        <f>D5+D6+D7+D8+D9+D10+D11</f>
        <v>15064481</v>
      </c>
      <c r="E2" s="81"/>
      <c r="F2" s="109">
        <f>F5+F6+F7+F8+F9+F10+F11</f>
        <v>15203505</v>
      </c>
      <c r="G2" s="109">
        <f>G5+G6+G7+G8+G9+G10+G11</f>
        <v>16483505</v>
      </c>
      <c r="H2" s="82">
        <f>H5+H6+H7+H8+H9+H10+H11</f>
        <v>16483505</v>
      </c>
    </row>
    <row r="3" spans="1:11" ht="15" customHeight="1">
      <c r="A3" s="1058"/>
      <c r="B3" s="1058"/>
      <c r="C3" s="1059"/>
      <c r="D3" s="21">
        <f>D13+D56+D61+D68+D71</f>
        <v>15000000</v>
      </c>
      <c r="E3" s="87">
        <v>11</v>
      </c>
      <c r="F3" s="142">
        <f>F13+F56+F61+F68+F71</f>
        <v>15178505</v>
      </c>
      <c r="G3" s="142">
        <f>G13+G56+G61+G68+G71</f>
        <v>16478505</v>
      </c>
      <c r="H3" s="21">
        <f>H13+H56+H61+H68+H71</f>
        <v>16478505</v>
      </c>
      <c r="I3" s="22"/>
      <c r="J3" s="22"/>
      <c r="K3" s="22"/>
    </row>
    <row r="4" spans="1:11">
      <c r="A4" s="1060"/>
      <c r="B4" s="1060"/>
      <c r="C4" s="1061"/>
      <c r="D4" s="21">
        <v>0</v>
      </c>
      <c r="E4" s="20">
        <v>12</v>
      </c>
      <c r="F4" s="142">
        <v>0</v>
      </c>
      <c r="G4" s="142">
        <v>0</v>
      </c>
      <c r="H4" s="21">
        <v>0</v>
      </c>
    </row>
    <row r="5" spans="1:11">
      <c r="A5" s="1060"/>
      <c r="B5" s="1060"/>
      <c r="C5" s="1061"/>
      <c r="D5" s="29">
        <f>D3+D4</f>
        <v>15000000</v>
      </c>
      <c r="E5" s="30" t="s">
        <v>267</v>
      </c>
      <c r="F5" s="143">
        <f>F3+F4</f>
        <v>15178505</v>
      </c>
      <c r="G5" s="143">
        <f>G3+G4</f>
        <v>16478505</v>
      </c>
      <c r="H5" s="29">
        <f>H3+H4</f>
        <v>16478505</v>
      </c>
    </row>
    <row r="6" spans="1:11">
      <c r="A6" s="1060"/>
      <c r="B6" s="1060"/>
      <c r="C6" s="1061"/>
      <c r="D6" s="21">
        <f>D30</f>
        <v>5000</v>
      </c>
      <c r="E6" s="20" t="s">
        <v>272</v>
      </c>
      <c r="F6" s="142">
        <f>F30+F26</f>
        <v>25000</v>
      </c>
      <c r="G6" s="142">
        <f t="shared" ref="G6:H6" si="0">G30+G26</f>
        <v>5000</v>
      </c>
      <c r="H6" s="142">
        <f t="shared" si="0"/>
        <v>5000</v>
      </c>
    </row>
    <row r="7" spans="1:11">
      <c r="A7" s="1060"/>
      <c r="B7" s="1060"/>
      <c r="C7" s="1061"/>
      <c r="D7" s="21">
        <v>0</v>
      </c>
      <c r="E7" s="20" t="s">
        <v>235</v>
      </c>
      <c r="F7" s="142">
        <v>0</v>
      </c>
      <c r="G7" s="142">
        <v>0</v>
      </c>
      <c r="H7" s="21">
        <v>0</v>
      </c>
    </row>
    <row r="8" spans="1:11">
      <c r="A8" s="1060"/>
      <c r="B8" s="1060"/>
      <c r="C8" s="1061"/>
      <c r="D8" s="21">
        <f>D46+D26</f>
        <v>59481</v>
      </c>
      <c r="E8" s="20" t="s">
        <v>264</v>
      </c>
      <c r="F8" s="142">
        <f>F46</f>
        <v>0</v>
      </c>
      <c r="G8" s="142">
        <f>G46+G26</f>
        <v>0</v>
      </c>
      <c r="H8" s="21">
        <f>H46+H26</f>
        <v>0</v>
      </c>
    </row>
    <row r="9" spans="1:11">
      <c r="A9" s="1060"/>
      <c r="B9" s="1060"/>
      <c r="C9" s="1061"/>
      <c r="D9" s="21">
        <v>0</v>
      </c>
      <c r="E9" s="20" t="s">
        <v>265</v>
      </c>
      <c r="F9" s="142">
        <v>0</v>
      </c>
      <c r="G9" s="142">
        <v>0</v>
      </c>
      <c r="H9" s="21">
        <v>0</v>
      </c>
    </row>
    <row r="10" spans="1:11">
      <c r="A10" s="1060"/>
      <c r="B10" s="1060"/>
      <c r="C10" s="1061"/>
      <c r="D10" s="21">
        <v>0</v>
      </c>
      <c r="E10" s="20" t="s">
        <v>234</v>
      </c>
      <c r="F10" s="142">
        <v>0</v>
      </c>
      <c r="G10" s="142">
        <v>0</v>
      </c>
      <c r="H10" s="21">
        <v>0</v>
      </c>
    </row>
    <row r="11" spans="1:11">
      <c r="A11" s="1072"/>
      <c r="B11" s="1072"/>
      <c r="C11" s="1073"/>
      <c r="D11" s="21">
        <v>0</v>
      </c>
      <c r="E11" s="20" t="s">
        <v>292</v>
      </c>
      <c r="F11" s="142">
        <v>0</v>
      </c>
      <c r="G11" s="142">
        <v>0</v>
      </c>
      <c r="H11" s="21">
        <v>0</v>
      </c>
    </row>
    <row r="12" spans="1:11" ht="25.5" customHeight="1">
      <c r="A12" s="1068" t="s">
        <v>222</v>
      </c>
      <c r="B12" s="1069"/>
      <c r="C12" s="1069"/>
      <c r="D12" s="1069"/>
      <c r="E12" s="1069"/>
      <c r="F12" s="1070"/>
      <c r="G12" s="1071"/>
      <c r="H12" s="1069"/>
    </row>
    <row r="13" spans="1:11">
      <c r="A13" s="62" t="s">
        <v>119</v>
      </c>
      <c r="B13" s="8" t="s">
        <v>120</v>
      </c>
      <c r="C13" s="10"/>
      <c r="D13" s="9">
        <f>D14+D17+D19+D22+D27+D35+D45+D52</f>
        <v>14420000</v>
      </c>
      <c r="E13" s="10" t="s">
        <v>0</v>
      </c>
      <c r="F13" s="145">
        <f>F14+F17+F19+F22+F27+F35+F45+F52</f>
        <v>14399130</v>
      </c>
      <c r="G13" s="145">
        <f>G14+G17+G19+G22+G27+G35+G45+G52</f>
        <v>15370293</v>
      </c>
      <c r="H13" s="9">
        <f>H14+H17+H19+H22+H27+H35+H45+H52</f>
        <v>14839978</v>
      </c>
    </row>
    <row r="14" spans="1:11">
      <c r="A14" s="63" t="s">
        <v>1</v>
      </c>
      <c r="B14" s="6" t="s">
        <v>2</v>
      </c>
      <c r="C14" s="5" t="s">
        <v>227</v>
      </c>
      <c r="D14" s="1">
        <f>D15+D16</f>
        <v>8000000</v>
      </c>
      <c r="E14" s="5" t="s">
        <v>0</v>
      </c>
      <c r="F14" s="146">
        <f>F15+F16</f>
        <v>8085984</v>
      </c>
      <c r="G14" s="146">
        <f>G15+G16</f>
        <v>8495984</v>
      </c>
      <c r="H14" s="1">
        <f>H15+H16</f>
        <v>8045984</v>
      </c>
    </row>
    <row r="15" spans="1:11">
      <c r="A15" s="64" t="s">
        <v>3</v>
      </c>
      <c r="B15" s="2" t="s">
        <v>4</v>
      </c>
      <c r="C15" s="7" t="s">
        <v>227</v>
      </c>
      <c r="D15" s="3">
        <v>7981000</v>
      </c>
      <c r="E15" s="7" t="s">
        <v>0</v>
      </c>
      <c r="F15" s="3">
        <v>8066984</v>
      </c>
      <c r="G15" s="3">
        <v>8476984</v>
      </c>
      <c r="H15" s="3">
        <v>8026984</v>
      </c>
    </row>
    <row r="16" spans="1:11">
      <c r="A16" s="64" t="s">
        <v>5</v>
      </c>
      <c r="B16" s="2" t="s">
        <v>6</v>
      </c>
      <c r="C16" s="7" t="s">
        <v>227</v>
      </c>
      <c r="D16" s="3">
        <v>19000</v>
      </c>
      <c r="E16" s="7" t="s">
        <v>0</v>
      </c>
      <c r="F16" s="3">
        <v>19000</v>
      </c>
      <c r="G16" s="3">
        <v>19000</v>
      </c>
      <c r="H16" s="3">
        <v>19000</v>
      </c>
    </row>
    <row r="17" spans="1:8">
      <c r="A17" s="63" t="s">
        <v>7</v>
      </c>
      <c r="B17" s="6" t="s">
        <v>8</v>
      </c>
      <c r="C17" s="5" t="s">
        <v>227</v>
      </c>
      <c r="D17" s="1">
        <f>D18</f>
        <v>347050</v>
      </c>
      <c r="E17" s="5" t="s">
        <v>0</v>
      </c>
      <c r="F17" s="146">
        <f>F18</f>
        <v>215000</v>
      </c>
      <c r="G17" s="146">
        <f>G18</f>
        <v>175000</v>
      </c>
      <c r="H17" s="1">
        <f>H18</f>
        <v>175000</v>
      </c>
    </row>
    <row r="18" spans="1:8">
      <c r="A18" s="64" t="s">
        <v>9</v>
      </c>
      <c r="B18" s="2" t="s">
        <v>8</v>
      </c>
      <c r="C18" s="7" t="s">
        <v>227</v>
      </c>
      <c r="D18" s="3">
        <v>347050</v>
      </c>
      <c r="E18" s="7" t="s">
        <v>0</v>
      </c>
      <c r="F18" s="3">
        <v>215000</v>
      </c>
      <c r="G18" s="3">
        <v>175000</v>
      </c>
      <c r="H18" s="3">
        <v>175000</v>
      </c>
    </row>
    <row r="19" spans="1:8">
      <c r="A19" s="63" t="s">
        <v>10</v>
      </c>
      <c r="B19" s="6" t="s">
        <v>11</v>
      </c>
      <c r="C19" s="5" t="s">
        <v>227</v>
      </c>
      <c r="D19" s="1">
        <f>D20+D21</f>
        <v>1376000</v>
      </c>
      <c r="E19" s="5" t="s">
        <v>0</v>
      </c>
      <c r="F19" s="146">
        <f>F20+F21</f>
        <v>1387521</v>
      </c>
      <c r="G19" s="146">
        <f>G20+G21</f>
        <v>1461309</v>
      </c>
      <c r="H19" s="1">
        <f>H20+H21</f>
        <v>1380994</v>
      </c>
    </row>
    <row r="20" spans="1:8">
      <c r="A20" s="64" t="s">
        <v>12</v>
      </c>
      <c r="B20" s="2" t="s">
        <v>13</v>
      </c>
      <c r="C20" s="7" t="s">
        <v>227</v>
      </c>
      <c r="D20" s="3">
        <v>1240000</v>
      </c>
      <c r="E20" s="7" t="s">
        <v>0</v>
      </c>
      <c r="F20" s="3">
        <v>1250382</v>
      </c>
      <c r="G20" s="3">
        <v>1316877</v>
      </c>
      <c r="H20" s="3">
        <v>1244212</v>
      </c>
    </row>
    <row r="21" spans="1:8">
      <c r="A21" s="64" t="s">
        <v>14</v>
      </c>
      <c r="B21" s="2" t="s">
        <v>15</v>
      </c>
      <c r="C21" s="7" t="s">
        <v>227</v>
      </c>
      <c r="D21" s="3">
        <v>136000</v>
      </c>
      <c r="E21" s="7" t="s">
        <v>0</v>
      </c>
      <c r="F21" s="3">
        <v>137139</v>
      </c>
      <c r="G21" s="3">
        <v>144432</v>
      </c>
      <c r="H21" s="3">
        <v>136782</v>
      </c>
    </row>
    <row r="22" spans="1:8">
      <c r="A22" s="63" t="s">
        <v>16</v>
      </c>
      <c r="B22" s="6" t="s">
        <v>17</v>
      </c>
      <c r="C22" s="5" t="s">
        <v>227</v>
      </c>
      <c r="D22" s="1">
        <f>D23+D24+D25</f>
        <v>900000</v>
      </c>
      <c r="E22" s="5" t="s">
        <v>0</v>
      </c>
      <c r="F22" s="146">
        <f>F23+F24+F25</f>
        <v>1030000</v>
      </c>
      <c r="G22" s="146">
        <f>G23+G24+G25</f>
        <v>1220000</v>
      </c>
      <c r="H22" s="1">
        <f>H23+H24+H25</f>
        <v>1220000</v>
      </c>
    </row>
    <row r="23" spans="1:8">
      <c r="A23" s="64" t="s">
        <v>18</v>
      </c>
      <c r="B23" s="2" t="s">
        <v>19</v>
      </c>
      <c r="C23" s="7" t="s">
        <v>227</v>
      </c>
      <c r="D23" s="3">
        <v>500000</v>
      </c>
      <c r="E23" s="7" t="s">
        <v>0</v>
      </c>
      <c r="F23" s="3">
        <v>600000</v>
      </c>
      <c r="G23" s="3">
        <v>700000</v>
      </c>
      <c r="H23" s="3">
        <v>700000</v>
      </c>
    </row>
    <row r="24" spans="1:8">
      <c r="A24" s="64" t="s">
        <v>20</v>
      </c>
      <c r="B24" s="2" t="s">
        <v>21</v>
      </c>
      <c r="C24" s="7" t="s">
        <v>227</v>
      </c>
      <c r="D24" s="3">
        <v>350000</v>
      </c>
      <c r="E24" s="7" t="s">
        <v>0</v>
      </c>
      <c r="F24" s="3">
        <v>350000</v>
      </c>
      <c r="G24" s="3">
        <v>400000</v>
      </c>
      <c r="H24" s="3">
        <v>400000</v>
      </c>
    </row>
    <row r="25" spans="1:8">
      <c r="A25" s="64" t="s">
        <v>22</v>
      </c>
      <c r="B25" s="2" t="s">
        <v>23</v>
      </c>
      <c r="C25" s="7" t="s">
        <v>227</v>
      </c>
      <c r="D25" s="3">
        <v>50000</v>
      </c>
      <c r="E25" s="7" t="s">
        <v>0</v>
      </c>
      <c r="F25" s="3">
        <v>80000</v>
      </c>
      <c r="G25" s="3">
        <v>120000</v>
      </c>
      <c r="H25" s="3">
        <v>120000</v>
      </c>
    </row>
    <row r="26" spans="1:8">
      <c r="A26" s="102" t="s">
        <v>22</v>
      </c>
      <c r="B26" s="103" t="s">
        <v>23</v>
      </c>
      <c r="C26" s="104" t="s">
        <v>227</v>
      </c>
      <c r="D26" s="105">
        <v>4849</v>
      </c>
      <c r="E26" s="104" t="s">
        <v>272</v>
      </c>
      <c r="F26" s="105">
        <v>20000</v>
      </c>
      <c r="G26" s="105"/>
      <c r="H26" s="105"/>
    </row>
    <row r="27" spans="1:8">
      <c r="A27" s="63" t="s">
        <v>24</v>
      </c>
      <c r="B27" s="6" t="s">
        <v>25</v>
      </c>
      <c r="C27" s="5" t="s">
        <v>227</v>
      </c>
      <c r="D27" s="1">
        <f>D28+D29+D31+D32+D33+D34</f>
        <v>1190000</v>
      </c>
      <c r="E27" s="5" t="s">
        <v>0</v>
      </c>
      <c r="F27" s="146">
        <f>F28+F29+F31+F32+F33+F34</f>
        <v>1170000</v>
      </c>
      <c r="G27" s="146">
        <f>G28+G29+G31+G32+G33+G34</f>
        <v>1285000</v>
      </c>
      <c r="H27" s="1">
        <f>H28+H29+H31+H32+H33+H34</f>
        <v>1285000</v>
      </c>
    </row>
    <row r="28" spans="1:8">
      <c r="A28" s="64" t="s">
        <v>26</v>
      </c>
      <c r="B28" s="2" t="s">
        <v>27</v>
      </c>
      <c r="C28" s="7" t="s">
        <v>227</v>
      </c>
      <c r="D28" s="3">
        <v>80000</v>
      </c>
      <c r="E28" s="7" t="s">
        <v>0</v>
      </c>
      <c r="F28" s="3">
        <v>100000</v>
      </c>
      <c r="G28" s="3">
        <v>100000</v>
      </c>
      <c r="H28" s="3">
        <v>100000</v>
      </c>
    </row>
    <row r="29" spans="1:8">
      <c r="A29" s="64" t="s">
        <v>121</v>
      </c>
      <c r="B29" s="2" t="s">
        <v>122</v>
      </c>
      <c r="C29" s="7" t="s">
        <v>227</v>
      </c>
      <c r="D29" s="3">
        <v>400000</v>
      </c>
      <c r="E29" s="7" t="s">
        <v>0</v>
      </c>
      <c r="F29" s="3">
        <v>380000</v>
      </c>
      <c r="G29" s="3">
        <v>400000</v>
      </c>
      <c r="H29" s="3">
        <v>400000</v>
      </c>
    </row>
    <row r="30" spans="1:8">
      <c r="A30" s="102" t="s">
        <v>121</v>
      </c>
      <c r="B30" s="103" t="s">
        <v>122</v>
      </c>
      <c r="C30" s="104" t="s">
        <v>227</v>
      </c>
      <c r="D30" s="105">
        <v>5000</v>
      </c>
      <c r="E30" s="104" t="s">
        <v>272</v>
      </c>
      <c r="F30" s="105">
        <v>5000</v>
      </c>
      <c r="G30" s="105">
        <v>5000</v>
      </c>
      <c r="H30" s="105">
        <v>5000</v>
      </c>
    </row>
    <row r="31" spans="1:8">
      <c r="A31" s="64" t="s">
        <v>28</v>
      </c>
      <c r="B31" s="2" t="s">
        <v>29</v>
      </c>
      <c r="C31" s="7" t="s">
        <v>227</v>
      </c>
      <c r="D31" s="3">
        <v>650000</v>
      </c>
      <c r="E31" s="7" t="s">
        <v>0</v>
      </c>
      <c r="F31" s="3">
        <v>600000</v>
      </c>
      <c r="G31" s="3">
        <v>650000</v>
      </c>
      <c r="H31" s="3">
        <v>650000</v>
      </c>
    </row>
    <row r="32" spans="1:8">
      <c r="A32" s="64" t="s">
        <v>30</v>
      </c>
      <c r="B32" s="2" t="s">
        <v>31</v>
      </c>
      <c r="C32" s="7" t="s">
        <v>227</v>
      </c>
      <c r="D32" s="3">
        <v>5000</v>
      </c>
      <c r="E32" s="7" t="s">
        <v>0</v>
      </c>
      <c r="F32" s="3">
        <v>10000</v>
      </c>
      <c r="G32" s="3">
        <v>10000</v>
      </c>
      <c r="H32" s="3">
        <v>10000</v>
      </c>
    </row>
    <row r="33" spans="1:8">
      <c r="A33" s="64" t="s">
        <v>32</v>
      </c>
      <c r="B33" s="2" t="s">
        <v>33</v>
      </c>
      <c r="C33" s="7" t="s">
        <v>227</v>
      </c>
      <c r="D33" s="3">
        <v>50000</v>
      </c>
      <c r="E33" s="7" t="s">
        <v>0</v>
      </c>
      <c r="F33" s="3">
        <v>50000</v>
      </c>
      <c r="G33" s="3">
        <v>75000</v>
      </c>
      <c r="H33" s="3">
        <v>75000</v>
      </c>
    </row>
    <row r="34" spans="1:8">
      <c r="A34" s="64" t="s">
        <v>103</v>
      </c>
      <c r="B34" s="2" t="s">
        <v>104</v>
      </c>
      <c r="C34" s="7" t="s">
        <v>227</v>
      </c>
      <c r="D34" s="3">
        <v>5000</v>
      </c>
      <c r="E34" s="7" t="s">
        <v>0</v>
      </c>
      <c r="F34" s="3">
        <v>30000</v>
      </c>
      <c r="G34" s="3">
        <v>50000</v>
      </c>
      <c r="H34" s="3">
        <v>50000</v>
      </c>
    </row>
    <row r="35" spans="1:8">
      <c r="A35" s="63" t="s">
        <v>34</v>
      </c>
      <c r="B35" s="6" t="s">
        <v>35</v>
      </c>
      <c r="C35" s="5" t="s">
        <v>227</v>
      </c>
      <c r="D35" s="1">
        <f>D36+D37+D38+D39+D40+D41+D42+D43+D44</f>
        <v>2295950</v>
      </c>
      <c r="E35" s="5" t="s">
        <v>0</v>
      </c>
      <c r="F35" s="146">
        <f>F36+F37+F38+F39+F40+F41+F42+F43+F44</f>
        <v>2192625</v>
      </c>
      <c r="G35" s="146">
        <f>G36+G37+G38+G39+G40+G41+G42+G43+G44</f>
        <v>2385000</v>
      </c>
      <c r="H35" s="1">
        <f>H36+H37+H38+H39+H40+H41+H42+H43+H44</f>
        <v>2385000</v>
      </c>
    </row>
    <row r="36" spans="1:8">
      <c r="A36" s="64" t="s">
        <v>36</v>
      </c>
      <c r="B36" s="2" t="s">
        <v>37</v>
      </c>
      <c r="C36" s="7" t="s">
        <v>227</v>
      </c>
      <c r="D36" s="3">
        <v>350000</v>
      </c>
      <c r="E36" s="7" t="s">
        <v>0</v>
      </c>
      <c r="F36" s="3">
        <v>350000</v>
      </c>
      <c r="G36" s="3">
        <v>380000</v>
      </c>
      <c r="H36" s="3">
        <v>380000</v>
      </c>
    </row>
    <row r="37" spans="1:8">
      <c r="A37" s="64" t="s">
        <v>38</v>
      </c>
      <c r="B37" s="2" t="s">
        <v>39</v>
      </c>
      <c r="C37" s="7" t="s">
        <v>227</v>
      </c>
      <c r="D37" s="3">
        <v>350000</v>
      </c>
      <c r="E37" s="7" t="s">
        <v>0</v>
      </c>
      <c r="F37" s="3">
        <v>300000</v>
      </c>
      <c r="G37" s="3">
        <v>400000</v>
      </c>
      <c r="H37" s="3">
        <v>400000</v>
      </c>
    </row>
    <row r="38" spans="1:8">
      <c r="A38" s="64" t="s">
        <v>40</v>
      </c>
      <c r="B38" s="2" t="s">
        <v>41</v>
      </c>
      <c r="C38" s="7" t="s">
        <v>227</v>
      </c>
      <c r="D38" s="3">
        <v>30000</v>
      </c>
      <c r="E38" s="7" t="s">
        <v>0</v>
      </c>
      <c r="F38" s="3">
        <v>30000</v>
      </c>
      <c r="G38" s="3">
        <v>30000</v>
      </c>
      <c r="H38" s="3">
        <v>30000</v>
      </c>
    </row>
    <row r="39" spans="1:8">
      <c r="A39" s="64" t="s">
        <v>42</v>
      </c>
      <c r="B39" s="2" t="s">
        <v>43</v>
      </c>
      <c r="C39" s="7" t="s">
        <v>227</v>
      </c>
      <c r="D39" s="3">
        <v>85000</v>
      </c>
      <c r="E39" s="7" t="s">
        <v>0</v>
      </c>
      <c r="F39" s="3">
        <v>150000</v>
      </c>
      <c r="G39" s="3">
        <v>150000</v>
      </c>
      <c r="H39" s="3">
        <v>150000</v>
      </c>
    </row>
    <row r="40" spans="1:8">
      <c r="A40" s="64" t="s">
        <v>44</v>
      </c>
      <c r="B40" s="2" t="s">
        <v>45</v>
      </c>
      <c r="C40" s="7" t="s">
        <v>227</v>
      </c>
      <c r="D40" s="3">
        <v>988950</v>
      </c>
      <c r="E40" s="7" t="s">
        <v>0</v>
      </c>
      <c r="F40" s="3">
        <v>800000</v>
      </c>
      <c r="G40" s="3">
        <v>875000</v>
      </c>
      <c r="H40" s="3">
        <v>875000</v>
      </c>
    </row>
    <row r="41" spans="1:8">
      <c r="A41" s="64" t="s">
        <v>46</v>
      </c>
      <c r="B41" s="2" t="s">
        <v>47</v>
      </c>
      <c r="C41" s="7" t="s">
        <v>227</v>
      </c>
      <c r="D41" s="3">
        <v>1000</v>
      </c>
      <c r="E41" s="7" t="s">
        <v>0</v>
      </c>
      <c r="F41" s="3">
        <v>50000</v>
      </c>
      <c r="G41" s="3">
        <v>0</v>
      </c>
      <c r="H41" s="3"/>
    </row>
    <row r="42" spans="1:8">
      <c r="A42" s="64" t="s">
        <v>48</v>
      </c>
      <c r="B42" s="2" t="s">
        <v>49</v>
      </c>
      <c r="C42" s="7" t="s">
        <v>227</v>
      </c>
      <c r="D42" s="3">
        <v>150000</v>
      </c>
      <c r="E42" s="7" t="s">
        <v>0</v>
      </c>
      <c r="F42" s="3">
        <v>100000</v>
      </c>
      <c r="G42" s="3">
        <v>100000</v>
      </c>
      <c r="H42" s="3">
        <v>100000</v>
      </c>
    </row>
    <row r="43" spans="1:8">
      <c r="A43" s="64" t="s">
        <v>50</v>
      </c>
      <c r="B43" s="2" t="s">
        <v>51</v>
      </c>
      <c r="C43" s="7" t="s">
        <v>227</v>
      </c>
      <c r="D43" s="3">
        <v>165000</v>
      </c>
      <c r="E43" s="7" t="s">
        <v>0</v>
      </c>
      <c r="F43" s="3">
        <v>200000</v>
      </c>
      <c r="G43" s="3">
        <v>200000</v>
      </c>
      <c r="H43" s="3">
        <v>200000</v>
      </c>
    </row>
    <row r="44" spans="1:8">
      <c r="A44" s="64" t="s">
        <v>52</v>
      </c>
      <c r="B44" s="2" t="s">
        <v>53</v>
      </c>
      <c r="C44" s="7" t="s">
        <v>227</v>
      </c>
      <c r="D44" s="3">
        <v>176000</v>
      </c>
      <c r="E44" s="7" t="s">
        <v>0</v>
      </c>
      <c r="F44" s="3">
        <v>212625</v>
      </c>
      <c r="G44" s="3">
        <v>250000</v>
      </c>
      <c r="H44" s="3">
        <v>250000</v>
      </c>
    </row>
    <row r="45" spans="1:8">
      <c r="A45" s="63" t="s">
        <v>57</v>
      </c>
      <c r="B45" s="6" t="s">
        <v>58</v>
      </c>
      <c r="C45" s="5" t="s">
        <v>227</v>
      </c>
      <c r="D45" s="1">
        <f>D47+D48+D49+D50+D51</f>
        <v>306000</v>
      </c>
      <c r="E45" s="5" t="s">
        <v>0</v>
      </c>
      <c r="F45" s="146">
        <f>F47+F48+F49+F50+F51</f>
        <v>313000</v>
      </c>
      <c r="G45" s="146">
        <f>G47+G48+G49+G50+G51</f>
        <v>343000</v>
      </c>
      <c r="H45" s="1">
        <f>H47+H48+H49+H50+H51</f>
        <v>343000</v>
      </c>
    </row>
    <row r="46" spans="1:8">
      <c r="A46" s="97">
        <v>3241</v>
      </c>
      <c r="B46" s="98" t="s">
        <v>55</v>
      </c>
      <c r="C46" s="99" t="s">
        <v>227</v>
      </c>
      <c r="D46" s="100">
        <v>54632</v>
      </c>
      <c r="E46" s="101" t="s">
        <v>264</v>
      </c>
      <c r="F46" s="147"/>
      <c r="G46" s="147"/>
      <c r="H46" s="100"/>
    </row>
    <row r="47" spans="1:8">
      <c r="A47" s="64" t="s">
        <v>61</v>
      </c>
      <c r="B47" s="2" t="s">
        <v>62</v>
      </c>
      <c r="C47" s="7" t="s">
        <v>227</v>
      </c>
      <c r="D47" s="3">
        <v>100000</v>
      </c>
      <c r="E47" s="7" t="s">
        <v>0</v>
      </c>
      <c r="F47" s="3">
        <v>50000</v>
      </c>
      <c r="G47" s="3">
        <v>50000</v>
      </c>
      <c r="H47" s="3">
        <v>50000</v>
      </c>
    </row>
    <row r="48" spans="1:8">
      <c r="A48" s="64" t="s">
        <v>63</v>
      </c>
      <c r="B48" s="2" t="s">
        <v>64</v>
      </c>
      <c r="C48" s="7" t="s">
        <v>227</v>
      </c>
      <c r="D48" s="3">
        <v>5000</v>
      </c>
      <c r="E48" s="7" t="s">
        <v>0</v>
      </c>
      <c r="F48" s="3">
        <v>10000</v>
      </c>
      <c r="G48" s="3">
        <v>0</v>
      </c>
      <c r="H48" s="3"/>
    </row>
    <row r="49" spans="1:8">
      <c r="A49" s="64" t="s">
        <v>65</v>
      </c>
      <c r="B49" s="2" t="s">
        <v>66</v>
      </c>
      <c r="C49" s="7" t="s">
        <v>227</v>
      </c>
      <c r="D49" s="3">
        <v>160000</v>
      </c>
      <c r="E49" s="7" t="s">
        <v>0</v>
      </c>
      <c r="F49" s="3">
        <v>160000</v>
      </c>
      <c r="G49" s="3">
        <v>200000</v>
      </c>
      <c r="H49" s="3">
        <v>200000</v>
      </c>
    </row>
    <row r="50" spans="1:8">
      <c r="A50" s="64" t="s">
        <v>67</v>
      </c>
      <c r="B50" s="2" t="s">
        <v>68</v>
      </c>
      <c r="C50" s="7" t="s">
        <v>227</v>
      </c>
      <c r="D50" s="3">
        <v>40000</v>
      </c>
      <c r="E50" s="7" t="s">
        <v>0</v>
      </c>
      <c r="F50" s="3">
        <v>92000</v>
      </c>
      <c r="G50" s="3">
        <v>92000</v>
      </c>
      <c r="H50" s="3">
        <v>92000</v>
      </c>
    </row>
    <row r="51" spans="1:8">
      <c r="A51" s="64" t="s">
        <v>69</v>
      </c>
      <c r="B51" s="2" t="s">
        <v>58</v>
      </c>
      <c r="C51" s="7" t="s">
        <v>227</v>
      </c>
      <c r="D51" s="3">
        <v>1000</v>
      </c>
      <c r="E51" s="7" t="s">
        <v>0</v>
      </c>
      <c r="F51" s="3">
        <v>1000</v>
      </c>
      <c r="G51" s="3">
        <v>1000</v>
      </c>
      <c r="H51" s="3">
        <v>1000</v>
      </c>
    </row>
    <row r="52" spans="1:8">
      <c r="A52" s="63" t="s">
        <v>70</v>
      </c>
      <c r="B52" s="6" t="s">
        <v>71</v>
      </c>
      <c r="C52" s="5" t="s">
        <v>227</v>
      </c>
      <c r="D52" s="1">
        <f>D53+D54+D55</f>
        <v>5000</v>
      </c>
      <c r="E52" s="5" t="s">
        <v>0</v>
      </c>
      <c r="F52" s="146">
        <f>F53+F54+F55</f>
        <v>5000</v>
      </c>
      <c r="G52" s="146">
        <f>G53+G54+G55</f>
        <v>5000</v>
      </c>
      <c r="H52" s="1">
        <f>H53+H54+H55</f>
        <v>5000</v>
      </c>
    </row>
    <row r="53" spans="1:8">
      <c r="A53" s="64" t="s">
        <v>72</v>
      </c>
      <c r="B53" s="2" t="s">
        <v>73</v>
      </c>
      <c r="C53" s="7" t="s">
        <v>227</v>
      </c>
      <c r="D53" s="3">
        <v>4000</v>
      </c>
      <c r="E53" s="7" t="s">
        <v>0</v>
      </c>
      <c r="F53" s="3">
        <v>4000</v>
      </c>
      <c r="G53" s="3">
        <v>4000</v>
      </c>
      <c r="H53" s="3">
        <v>4000</v>
      </c>
    </row>
    <row r="54" spans="1:8">
      <c r="A54" s="64" t="s">
        <v>74</v>
      </c>
      <c r="B54" s="2" t="s">
        <v>75</v>
      </c>
      <c r="C54" s="7" t="s">
        <v>227</v>
      </c>
      <c r="D54" s="3">
        <v>500</v>
      </c>
      <c r="E54" s="7" t="s">
        <v>0</v>
      </c>
      <c r="F54" s="3">
        <v>500</v>
      </c>
      <c r="G54" s="3">
        <v>500</v>
      </c>
      <c r="H54" s="3">
        <v>500</v>
      </c>
    </row>
    <row r="55" spans="1:8">
      <c r="A55" s="64" t="s">
        <v>76</v>
      </c>
      <c r="B55" s="2" t="s">
        <v>77</v>
      </c>
      <c r="C55" s="7" t="s">
        <v>227</v>
      </c>
      <c r="D55" s="3">
        <v>500</v>
      </c>
      <c r="E55" s="7" t="s">
        <v>0</v>
      </c>
      <c r="F55" s="3">
        <v>500</v>
      </c>
      <c r="G55" s="3">
        <v>500</v>
      </c>
      <c r="H55" s="3">
        <v>500</v>
      </c>
    </row>
    <row r="56" spans="1:8">
      <c r="A56" s="62" t="s">
        <v>123</v>
      </c>
      <c r="B56" s="8" t="s">
        <v>124</v>
      </c>
      <c r="C56" s="10"/>
      <c r="D56" s="9">
        <f>D59</f>
        <v>5000</v>
      </c>
      <c r="E56" s="10" t="s">
        <v>0</v>
      </c>
      <c r="F56" s="145">
        <f>F59+F57</f>
        <v>120000</v>
      </c>
      <c r="G56" s="145">
        <f t="shared" ref="G56:H56" si="1">G59+G57</f>
        <v>120000</v>
      </c>
      <c r="H56" s="145">
        <f t="shared" si="1"/>
        <v>860000</v>
      </c>
    </row>
    <row r="57" spans="1:8">
      <c r="A57" s="435" t="s">
        <v>34</v>
      </c>
      <c r="B57" s="436" t="s">
        <v>35</v>
      </c>
      <c r="C57" s="5" t="s">
        <v>227</v>
      </c>
      <c r="D57" s="1">
        <v>0</v>
      </c>
      <c r="E57" s="5" t="s">
        <v>0</v>
      </c>
      <c r="F57" s="146">
        <f>SUM(F58)</f>
        <v>60000</v>
      </c>
      <c r="G57" s="146">
        <f t="shared" ref="G57:H57" si="2">SUM(G58)</f>
        <v>60000</v>
      </c>
      <c r="H57" s="146">
        <f t="shared" si="2"/>
        <v>60000</v>
      </c>
    </row>
    <row r="58" spans="1:8">
      <c r="A58" s="437">
        <v>3237</v>
      </c>
      <c r="B58" s="441" t="s">
        <v>49</v>
      </c>
      <c r="C58" s="438" t="s">
        <v>227</v>
      </c>
      <c r="D58" s="440">
        <v>0</v>
      </c>
      <c r="E58" s="438" t="s">
        <v>0</v>
      </c>
      <c r="F58" s="439">
        <v>60000</v>
      </c>
      <c r="G58" s="439">
        <v>60000</v>
      </c>
      <c r="H58" s="440">
        <v>60000</v>
      </c>
    </row>
    <row r="59" spans="1:8">
      <c r="A59" s="63" t="s">
        <v>88</v>
      </c>
      <c r="B59" s="6" t="s">
        <v>89</v>
      </c>
      <c r="C59" s="5" t="s">
        <v>227</v>
      </c>
      <c r="D59" s="1">
        <f t="shared" ref="D59:H59" si="3">D60</f>
        <v>5000</v>
      </c>
      <c r="E59" s="5" t="s">
        <v>0</v>
      </c>
      <c r="F59" s="146">
        <f t="shared" si="3"/>
        <v>60000</v>
      </c>
      <c r="G59" s="146">
        <f t="shared" si="3"/>
        <v>60000</v>
      </c>
      <c r="H59" s="1">
        <f t="shared" si="3"/>
        <v>800000</v>
      </c>
    </row>
    <row r="60" spans="1:8">
      <c r="A60" s="64" t="s">
        <v>96</v>
      </c>
      <c r="B60" s="2" t="s">
        <v>97</v>
      </c>
      <c r="C60" s="7" t="s">
        <v>227</v>
      </c>
      <c r="D60" s="3">
        <v>5000</v>
      </c>
      <c r="E60" s="7" t="s">
        <v>0</v>
      </c>
      <c r="F60" s="3">
        <v>60000</v>
      </c>
      <c r="G60" s="3">
        <v>60000</v>
      </c>
      <c r="H60" s="3">
        <v>800000</v>
      </c>
    </row>
    <row r="61" spans="1:8">
      <c r="A61" s="62" t="s">
        <v>125</v>
      </c>
      <c r="B61" s="8" t="s">
        <v>126</v>
      </c>
      <c r="C61" s="10"/>
      <c r="D61" s="9">
        <f>D62+D66</f>
        <v>5000</v>
      </c>
      <c r="E61" s="10" t="s">
        <v>0</v>
      </c>
      <c r="F61" s="145">
        <f>F62+F66</f>
        <v>25000</v>
      </c>
      <c r="G61" s="145">
        <f>G62+G66</f>
        <v>25000</v>
      </c>
      <c r="H61" s="9">
        <f>H62+H66</f>
        <v>55000</v>
      </c>
    </row>
    <row r="62" spans="1:8">
      <c r="A62" s="63" t="s">
        <v>88</v>
      </c>
      <c r="B62" s="6" t="s">
        <v>89</v>
      </c>
      <c r="C62" s="5" t="s">
        <v>227</v>
      </c>
      <c r="D62" s="1">
        <f>D63+D64+D65</f>
        <v>5000</v>
      </c>
      <c r="E62" s="5" t="s">
        <v>0</v>
      </c>
      <c r="F62" s="146">
        <f>F63+F64+F65</f>
        <v>15000</v>
      </c>
      <c r="G62" s="146">
        <f>G63+G64+G65</f>
        <v>15000</v>
      </c>
      <c r="H62" s="1">
        <f>H63+H64+H65</f>
        <v>45000</v>
      </c>
    </row>
    <row r="63" spans="1:8">
      <c r="A63" s="64" t="s">
        <v>90</v>
      </c>
      <c r="B63" s="2" t="s">
        <v>91</v>
      </c>
      <c r="C63" s="7" t="s">
        <v>227</v>
      </c>
      <c r="D63" s="3">
        <v>5000</v>
      </c>
      <c r="E63" s="7" t="s">
        <v>0</v>
      </c>
      <c r="F63" s="3">
        <v>5000</v>
      </c>
      <c r="G63" s="3">
        <v>5000</v>
      </c>
      <c r="H63" s="3">
        <v>15000</v>
      </c>
    </row>
    <row r="64" spans="1:8">
      <c r="A64" s="64" t="s">
        <v>92</v>
      </c>
      <c r="B64" s="2" t="s">
        <v>93</v>
      </c>
      <c r="C64" s="7" t="s">
        <v>227</v>
      </c>
      <c r="D64" s="3">
        <v>0</v>
      </c>
      <c r="E64" s="7" t="s">
        <v>0</v>
      </c>
      <c r="F64" s="3">
        <v>5000</v>
      </c>
      <c r="G64" s="3">
        <v>5000</v>
      </c>
      <c r="H64" s="3">
        <v>15000</v>
      </c>
    </row>
    <row r="65" spans="1:8">
      <c r="A65" s="64" t="s">
        <v>94</v>
      </c>
      <c r="B65" s="2" t="s">
        <v>95</v>
      </c>
      <c r="C65" s="7" t="s">
        <v>227</v>
      </c>
      <c r="D65" s="3">
        <v>0</v>
      </c>
      <c r="E65" s="7" t="s">
        <v>0</v>
      </c>
      <c r="F65" s="3">
        <v>5000</v>
      </c>
      <c r="G65" s="3">
        <v>5000</v>
      </c>
      <c r="H65" s="3">
        <v>15000</v>
      </c>
    </row>
    <row r="66" spans="1:8">
      <c r="A66" s="63" t="s">
        <v>127</v>
      </c>
      <c r="B66" s="6" t="s">
        <v>128</v>
      </c>
      <c r="C66" s="5" t="s">
        <v>227</v>
      </c>
      <c r="D66" s="1">
        <f>D67</f>
        <v>0</v>
      </c>
      <c r="E66" s="5" t="s">
        <v>0</v>
      </c>
      <c r="F66" s="146">
        <f>F67</f>
        <v>10000</v>
      </c>
      <c r="G66" s="146">
        <f>G67</f>
        <v>10000</v>
      </c>
      <c r="H66" s="1">
        <f>H67</f>
        <v>10000</v>
      </c>
    </row>
    <row r="67" spans="1:8">
      <c r="A67" s="64" t="s">
        <v>129</v>
      </c>
      <c r="B67" s="2" t="s">
        <v>128</v>
      </c>
      <c r="C67" s="7" t="s">
        <v>227</v>
      </c>
      <c r="D67" s="3">
        <v>0</v>
      </c>
      <c r="E67" s="7" t="s">
        <v>0</v>
      </c>
      <c r="F67" s="3">
        <v>10000</v>
      </c>
      <c r="G67" s="3">
        <v>10000</v>
      </c>
      <c r="H67" s="3">
        <v>10000</v>
      </c>
    </row>
    <row r="68" spans="1:8">
      <c r="A68" s="62" t="s">
        <v>130</v>
      </c>
      <c r="B68" s="8" t="s">
        <v>98</v>
      </c>
      <c r="C68" s="10"/>
      <c r="D68" s="9">
        <f t="shared" ref="D68:H69" si="4">D69</f>
        <v>400000</v>
      </c>
      <c r="E68" s="10" t="s">
        <v>0</v>
      </c>
      <c r="F68" s="145">
        <f t="shared" si="4"/>
        <v>390000</v>
      </c>
      <c r="G68" s="145">
        <f t="shared" si="4"/>
        <v>420000</v>
      </c>
      <c r="H68" s="9">
        <f t="shared" si="4"/>
        <v>105000</v>
      </c>
    </row>
    <row r="69" spans="1:8">
      <c r="A69" s="63" t="s">
        <v>34</v>
      </c>
      <c r="B69" s="6" t="s">
        <v>35</v>
      </c>
      <c r="C69" s="5" t="s">
        <v>227</v>
      </c>
      <c r="D69" s="1">
        <f t="shared" si="4"/>
        <v>400000</v>
      </c>
      <c r="E69" s="5" t="s">
        <v>0</v>
      </c>
      <c r="F69" s="146">
        <f t="shared" si="4"/>
        <v>390000</v>
      </c>
      <c r="G69" s="146">
        <f t="shared" si="4"/>
        <v>420000</v>
      </c>
      <c r="H69" s="1">
        <f t="shared" si="4"/>
        <v>105000</v>
      </c>
    </row>
    <row r="70" spans="1:8">
      <c r="A70" s="64" t="s">
        <v>44</v>
      </c>
      <c r="B70" s="2" t="s">
        <v>45</v>
      </c>
      <c r="C70" s="7" t="s">
        <v>227</v>
      </c>
      <c r="D70" s="3">
        <v>400000</v>
      </c>
      <c r="E70" s="7" t="s">
        <v>0</v>
      </c>
      <c r="F70" s="3">
        <v>390000</v>
      </c>
      <c r="G70" s="3">
        <v>420000</v>
      </c>
      <c r="H70" s="3">
        <v>105000</v>
      </c>
    </row>
    <row r="71" spans="1:8">
      <c r="A71" s="62" t="s">
        <v>131</v>
      </c>
      <c r="B71" s="8" t="s">
        <v>132</v>
      </c>
      <c r="C71" s="10"/>
      <c r="D71" s="9">
        <f>D72+D74</f>
        <v>170000</v>
      </c>
      <c r="E71" s="10" t="s">
        <v>0</v>
      </c>
      <c r="F71" s="145">
        <f>F72+F74</f>
        <v>244375</v>
      </c>
      <c r="G71" s="145">
        <f>G72+G74</f>
        <v>543212</v>
      </c>
      <c r="H71" s="9">
        <f>H72+H74</f>
        <v>618527</v>
      </c>
    </row>
    <row r="72" spans="1:8">
      <c r="A72" s="63" t="s">
        <v>88</v>
      </c>
      <c r="B72" s="6" t="s">
        <v>89</v>
      </c>
      <c r="C72" s="5" t="s">
        <v>227</v>
      </c>
      <c r="D72" s="1">
        <f>D73</f>
        <v>95000</v>
      </c>
      <c r="E72" s="5" t="s">
        <v>0</v>
      </c>
      <c r="F72" s="146">
        <f>F73</f>
        <v>94375</v>
      </c>
      <c r="G72" s="146">
        <f>G73</f>
        <v>94375</v>
      </c>
      <c r="H72" s="1">
        <f>H73</f>
        <v>150000</v>
      </c>
    </row>
    <row r="73" spans="1:8">
      <c r="A73" s="64" t="s">
        <v>90</v>
      </c>
      <c r="B73" s="2" t="s">
        <v>91</v>
      </c>
      <c r="C73" s="7" t="s">
        <v>227</v>
      </c>
      <c r="D73" s="3">
        <v>95000</v>
      </c>
      <c r="E73" s="7" t="s">
        <v>0</v>
      </c>
      <c r="F73" s="3">
        <v>94375</v>
      </c>
      <c r="G73" s="3">
        <v>94375</v>
      </c>
      <c r="H73" s="3">
        <v>150000</v>
      </c>
    </row>
    <row r="74" spans="1:8">
      <c r="A74" s="63" t="s">
        <v>140</v>
      </c>
      <c r="B74" s="6" t="s">
        <v>181</v>
      </c>
      <c r="C74" s="5" t="s">
        <v>227</v>
      </c>
      <c r="D74" s="1">
        <f>D75</f>
        <v>75000</v>
      </c>
      <c r="E74" s="5" t="s">
        <v>0</v>
      </c>
      <c r="F74" s="146">
        <f>F75</f>
        <v>150000</v>
      </c>
      <c r="G74" s="146">
        <f>G75</f>
        <v>448837</v>
      </c>
      <c r="H74" s="1">
        <f>H75</f>
        <v>468527</v>
      </c>
    </row>
    <row r="75" spans="1:8">
      <c r="A75" s="64" t="s">
        <v>142</v>
      </c>
      <c r="B75" s="2" t="s">
        <v>182</v>
      </c>
      <c r="C75" s="7" t="s">
        <v>227</v>
      </c>
      <c r="D75" s="3">
        <v>75000</v>
      </c>
      <c r="E75" s="7" t="s">
        <v>0</v>
      </c>
      <c r="F75" s="3">
        <v>150000</v>
      </c>
      <c r="G75" s="3">
        <v>448837</v>
      </c>
      <c r="H75" s="3">
        <v>468527</v>
      </c>
    </row>
  </sheetData>
  <customSheetViews>
    <customSheetView guid="{DE360DA9-5353-4F03-95DA-9238CFBE39D8}" scale="110" showPageBreaks="1" printArea="1" state="hidden">
      <pane ySplit="12" topLeftCell="A13" activePane="bottomLeft" state="frozen"/>
      <selection pane="bottomLeft" activeCell="F3" sqref="F3:H3"/>
      <rowBreaks count="2" manualBreakCount="2">
        <brk id="34" max="7" man="1"/>
        <brk id="6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1"/>
      <headerFooter>
        <oddFooter>&amp;CD Z M&amp;R&amp;P</oddFooter>
      </headerFooter>
    </customSheetView>
    <customSheetView guid="{4FFB33FE-6696-4144-BF99-378C5196B940}" scale="110" showPageBreaks="1" printArea="1" state="hidden">
      <pane ySplit="12" topLeftCell="A13" activePane="bottomLeft" state="frozen"/>
      <selection pane="bottomLeft" activeCell="F3" sqref="F3:H3"/>
      <rowBreaks count="2" manualBreakCount="2">
        <brk id="34" max="7" man="1"/>
        <brk id="6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2"/>
      <headerFooter>
        <oddFooter>&amp;CD Z M&amp;R&amp;P</oddFooter>
      </headerFooter>
    </customSheetView>
    <customSheetView guid="{3D59341C-00F4-4635-AC4F-8988CF6BE637}" scale="110" state="hidden">
      <pane ySplit="12" topLeftCell="A13" activePane="bottomLeft" state="frozen"/>
      <selection pane="bottomLeft" activeCell="F3" sqref="F3:H3"/>
      <rowBreaks count="2" manualBreakCount="2">
        <brk id="34" max="7" man="1"/>
        <brk id="6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3"/>
      <headerFooter>
        <oddFooter>&amp;CD Z M&amp;R&amp;P</oddFooter>
      </headerFooter>
    </customSheetView>
    <customSheetView guid="{5251AB89-31D9-4C6C-945A-13C9748C2E26}" scale="110" state="hidden">
      <pane ySplit="12" topLeftCell="A13" activePane="bottomLeft" state="frozen"/>
      <selection pane="bottomLeft" activeCell="F3" sqref="F3:H3"/>
      <rowBreaks count="2" manualBreakCount="2">
        <brk id="34" max="7" man="1"/>
        <brk id="6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4"/>
      <headerFooter>
        <oddFooter>&amp;CD Z M&amp;R&amp;P</oddFooter>
      </headerFooter>
    </customSheetView>
    <customSheetView guid="{14A1FC8C-94B5-4B4E-9269-30661976D1D1}" scale="110" state="hidden">
      <pane ySplit="12" topLeftCell="A13" activePane="bottomLeft" state="frozen"/>
      <selection pane="bottomLeft" activeCell="F3" sqref="F3:H3"/>
      <rowBreaks count="2" manualBreakCount="2">
        <brk id="34" max="7" man="1"/>
        <brk id="6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5"/>
      <headerFooter>
        <oddFooter>&amp;CD Z M&amp;R&amp;P</oddFooter>
      </headerFooter>
    </customSheetView>
    <customSheetView guid="{D0F51479-7B68-4FFC-8604-F0A17468B00E}" scale="110" state="hidden">
      <pane ySplit="12" topLeftCell="A13" activePane="bottomLeft" state="frozen"/>
      <selection pane="bottomLeft" activeCell="F3" sqref="F3:H3"/>
      <rowBreaks count="2" manualBreakCount="2">
        <brk id="34" max="7" man="1"/>
        <brk id="6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6"/>
      <headerFooter>
        <oddFooter>&amp;CD Z M&amp;R&amp;P</oddFooter>
      </headerFooter>
    </customSheetView>
    <customSheetView guid="{0D7CE69A-AF67-471F-AE1C-92FEF35D1955}" scale="110" showPageBreaks="1" printArea="1" state="hidden">
      <pane ySplit="12" topLeftCell="A13" activePane="bottomLeft" state="frozen"/>
      <selection pane="bottomLeft" activeCell="F3" sqref="F3:H3"/>
      <rowBreaks count="2" manualBreakCount="2">
        <brk id="34" max="7" man="1"/>
        <brk id="6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7"/>
      <headerFooter>
        <oddFooter>&amp;CD Z M&amp;R&amp;P</oddFooter>
      </headerFooter>
    </customSheetView>
    <customSheetView guid="{3EC3B099-A84F-48D2-A97E-B7686AB72BE7}" scale="110" showPageBreaks="1" printArea="1" state="hidden">
      <pane ySplit="12" topLeftCell="A13" activePane="bottomLeft" state="frozen"/>
      <selection pane="bottomLeft" activeCell="F3" sqref="F3:H3"/>
      <rowBreaks count="2" manualBreakCount="2">
        <brk id="34" max="7" man="1"/>
        <brk id="67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orientation="landscape" r:id="rId8"/>
      <headerFooter>
        <oddFooter>&amp;CD Z M&amp;R&amp;P</oddFooter>
      </headerFooter>
    </customSheetView>
  </customSheetViews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9"/>
  <headerFooter>
    <oddFooter>&amp;CD Z M&amp;R&amp;P</oddFooter>
  </headerFooter>
  <rowBreaks count="2" manualBreakCount="2">
    <brk id="34" max="7" man="1"/>
    <brk id="6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2"/>
  <sheetViews>
    <sheetView zoomScale="110" zoomScaleNormal="110" zoomScaleSheetLayoutView="100" workbookViewId="0">
      <pane ySplit="12" topLeftCell="A13" activePane="bottomLeft" state="frozen"/>
      <selection pane="bottomLeft" activeCell="F3" sqref="F3:H3"/>
    </sheetView>
  </sheetViews>
  <sheetFormatPr defaultRowHeight="15"/>
  <cols>
    <col min="1" max="1" width="10.7109375" style="61" customWidth="1"/>
    <col min="2" max="2" width="51.5703125" customWidth="1"/>
    <col min="3" max="3" width="5.7109375" customWidth="1"/>
    <col min="4" max="4" width="14.7109375" customWidth="1"/>
    <col min="5" max="5" width="5.7109375" customWidth="1"/>
    <col min="6" max="8" width="16.7109375" customWidth="1"/>
    <col min="9" max="9" width="11.85546875" bestFit="1" customWidth="1"/>
    <col min="11" max="11" width="11.7109375" bestFit="1" customWidth="1"/>
  </cols>
  <sheetData>
    <row r="1" spans="1:11" ht="25.5" customHeight="1">
      <c r="A1" s="84"/>
      <c r="B1" s="85"/>
      <c r="C1" s="78" t="s">
        <v>220</v>
      </c>
      <c r="D1" s="78" t="s">
        <v>302</v>
      </c>
      <c r="E1" s="86" t="s">
        <v>180</v>
      </c>
      <c r="F1" s="73" t="s">
        <v>398</v>
      </c>
      <c r="G1" s="73" t="s">
        <v>399</v>
      </c>
      <c r="H1" s="287" t="s">
        <v>400</v>
      </c>
    </row>
    <row r="2" spans="1:11" ht="25.5" customHeight="1">
      <c r="A2" s="79" t="s">
        <v>133</v>
      </c>
      <c r="B2" s="83" t="s">
        <v>134</v>
      </c>
      <c r="C2" s="81"/>
      <c r="D2" s="82">
        <f>D13+D57+D64</f>
        <v>9192000</v>
      </c>
      <c r="E2" s="81"/>
      <c r="F2" s="109">
        <f>F13+F57+F64</f>
        <v>9745271</v>
      </c>
      <c r="G2" s="82">
        <f>G13+G57+G64</f>
        <v>9745271</v>
      </c>
      <c r="H2" s="82">
        <f>H13+H57+H64</f>
        <v>9745271</v>
      </c>
    </row>
    <row r="3" spans="1:11" ht="15" customHeight="1">
      <c r="A3" s="1058"/>
      <c r="B3" s="1058"/>
      <c r="C3" s="1059"/>
      <c r="D3" s="21">
        <f>D13+D64</f>
        <v>8992000</v>
      </c>
      <c r="E3" s="87">
        <v>11</v>
      </c>
      <c r="F3" s="142">
        <f>F13+F64</f>
        <v>9493271</v>
      </c>
      <c r="G3" s="21">
        <f>G13+G64</f>
        <v>9493271</v>
      </c>
      <c r="H3" s="21">
        <f>H13+H64</f>
        <v>9493271</v>
      </c>
      <c r="I3" s="22"/>
      <c r="K3" s="22"/>
    </row>
    <row r="4" spans="1:11">
      <c r="A4" s="1060"/>
      <c r="B4" s="1060"/>
      <c r="C4" s="1061"/>
      <c r="D4" s="21">
        <f>D58</f>
        <v>8000</v>
      </c>
      <c r="E4" s="20">
        <v>12</v>
      </c>
      <c r="F4" s="142">
        <f>F58</f>
        <v>60000</v>
      </c>
      <c r="G4" s="21">
        <f>G58</f>
        <v>60000</v>
      </c>
      <c r="H4" s="21">
        <f>H58</f>
        <v>60000</v>
      </c>
    </row>
    <row r="5" spans="1:11">
      <c r="A5" s="1060"/>
      <c r="B5" s="1060"/>
      <c r="C5" s="1061"/>
      <c r="D5" s="29">
        <f>D3+D4</f>
        <v>9000000</v>
      </c>
      <c r="E5" s="30" t="s">
        <v>267</v>
      </c>
      <c r="F5" s="143">
        <f>F3+F4</f>
        <v>9553271</v>
      </c>
      <c r="G5" s="29">
        <f>G3+G4</f>
        <v>9553271</v>
      </c>
      <c r="H5" s="29">
        <f>H3+H4</f>
        <v>9553271</v>
      </c>
    </row>
    <row r="6" spans="1:11">
      <c r="A6" s="1060"/>
      <c r="B6" s="1060"/>
      <c r="C6" s="1061"/>
      <c r="D6" s="21">
        <v>0</v>
      </c>
      <c r="E6" s="20" t="s">
        <v>216</v>
      </c>
      <c r="F6" s="142">
        <v>0</v>
      </c>
      <c r="G6" s="21">
        <v>0</v>
      </c>
      <c r="H6" s="21">
        <v>0</v>
      </c>
    </row>
    <row r="7" spans="1:11">
      <c r="A7" s="1060"/>
      <c r="B7" s="1060"/>
      <c r="C7" s="1061"/>
      <c r="D7" s="21">
        <f>D61</f>
        <v>192000</v>
      </c>
      <c r="E7" s="20" t="s">
        <v>235</v>
      </c>
      <c r="F7" s="142">
        <f>F61</f>
        <v>192000</v>
      </c>
      <c r="G7" s="21">
        <f>G61</f>
        <v>192000</v>
      </c>
      <c r="H7" s="21">
        <f>H61</f>
        <v>192000</v>
      </c>
    </row>
    <row r="8" spans="1:11">
      <c r="A8" s="1060"/>
      <c r="B8" s="1060"/>
      <c r="C8" s="1061"/>
      <c r="D8" s="21">
        <v>0</v>
      </c>
      <c r="E8" s="20" t="s">
        <v>264</v>
      </c>
      <c r="F8" s="142">
        <v>0</v>
      </c>
      <c r="G8" s="21">
        <v>0</v>
      </c>
      <c r="H8" s="21">
        <v>0</v>
      </c>
    </row>
    <row r="9" spans="1:11">
      <c r="A9" s="1060"/>
      <c r="B9" s="1060"/>
      <c r="C9" s="1061"/>
      <c r="D9" s="21">
        <v>0</v>
      </c>
      <c r="E9" s="20" t="s">
        <v>265</v>
      </c>
      <c r="F9" s="142">
        <v>0</v>
      </c>
      <c r="G9" s="21">
        <v>0</v>
      </c>
      <c r="H9" s="21">
        <v>0</v>
      </c>
    </row>
    <row r="10" spans="1:11">
      <c r="A10" s="1060"/>
      <c r="B10" s="1060"/>
      <c r="C10" s="1061"/>
      <c r="D10" s="21">
        <v>0</v>
      </c>
      <c r="E10" s="20" t="s">
        <v>234</v>
      </c>
      <c r="F10" s="142">
        <v>0</v>
      </c>
      <c r="G10" s="21">
        <v>0</v>
      </c>
      <c r="H10" s="21">
        <v>0</v>
      </c>
    </row>
    <row r="11" spans="1:11">
      <c r="A11" s="1072"/>
      <c r="B11" s="1072"/>
      <c r="C11" s="1073"/>
      <c r="D11" s="21">
        <v>0</v>
      </c>
      <c r="E11" s="20" t="s">
        <v>292</v>
      </c>
      <c r="F11" s="142">
        <v>0</v>
      </c>
      <c r="G11" s="21">
        <v>0</v>
      </c>
      <c r="H11" s="21">
        <v>0</v>
      </c>
    </row>
    <row r="12" spans="1:11">
      <c r="A12" s="1068" t="s">
        <v>223</v>
      </c>
      <c r="B12" s="1069"/>
      <c r="C12" s="1069"/>
      <c r="D12" s="1069"/>
      <c r="E12" s="1069"/>
      <c r="F12" s="1071"/>
      <c r="G12" s="1070"/>
      <c r="H12" s="1069"/>
    </row>
    <row r="13" spans="1:11">
      <c r="A13" s="62" t="s">
        <v>135</v>
      </c>
      <c r="B13" s="8" t="s">
        <v>136</v>
      </c>
      <c r="C13" s="10"/>
      <c r="D13" s="9">
        <f>D14+D17+D19+D22+D26+D32+D42+D50+D54</f>
        <v>8572000</v>
      </c>
      <c r="E13" s="10" t="s">
        <v>0</v>
      </c>
      <c r="F13" s="145">
        <f>F14+F17+F19+F22+F26+F32+F42+F50+F54</f>
        <v>9113271</v>
      </c>
      <c r="G13" s="9">
        <f>G14+G17+G19+G22+G26+G32+G42+G50+G54</f>
        <v>9113271</v>
      </c>
      <c r="H13" s="9">
        <f>H14+H17+H19+H22+H26+H32+H42+H50+H54</f>
        <v>9113271</v>
      </c>
    </row>
    <row r="14" spans="1:11">
      <c r="A14" s="63" t="s">
        <v>1</v>
      </c>
      <c r="B14" s="6" t="s">
        <v>2</v>
      </c>
      <c r="C14" s="5" t="s">
        <v>227</v>
      </c>
      <c r="D14" s="1">
        <f>D15+D16</f>
        <v>5425000</v>
      </c>
      <c r="E14" s="5" t="s">
        <v>0</v>
      </c>
      <c r="F14" s="146">
        <f>F15+F16</f>
        <v>5715453</v>
      </c>
      <c r="G14" s="1">
        <f>G15+G16</f>
        <v>5765453</v>
      </c>
      <c r="H14" s="1">
        <f>H15+H16</f>
        <v>5815453</v>
      </c>
    </row>
    <row r="15" spans="1:11">
      <c r="A15" s="64" t="s">
        <v>3</v>
      </c>
      <c r="B15" s="2" t="s">
        <v>4</v>
      </c>
      <c r="C15" s="4" t="s">
        <v>227</v>
      </c>
      <c r="D15" s="3">
        <v>5425000</v>
      </c>
      <c r="E15" s="4" t="s">
        <v>0</v>
      </c>
      <c r="F15" s="149">
        <v>5715453</v>
      </c>
      <c r="G15" s="3">
        <v>5765453</v>
      </c>
      <c r="H15" s="3">
        <v>5815453</v>
      </c>
    </row>
    <row r="16" spans="1:11">
      <c r="A16" s="64" t="s">
        <v>5</v>
      </c>
      <c r="B16" s="2" t="s">
        <v>6</v>
      </c>
      <c r="C16" s="4" t="s">
        <v>227</v>
      </c>
      <c r="D16" s="3">
        <v>0</v>
      </c>
      <c r="E16" s="4" t="s">
        <v>0</v>
      </c>
      <c r="F16" s="149">
        <v>0</v>
      </c>
      <c r="G16" s="3">
        <v>0</v>
      </c>
      <c r="H16" s="3">
        <v>0</v>
      </c>
    </row>
    <row r="17" spans="1:8">
      <c r="A17" s="63" t="s">
        <v>7</v>
      </c>
      <c r="B17" s="6" t="s">
        <v>8</v>
      </c>
      <c r="C17" s="5" t="s">
        <v>227</v>
      </c>
      <c r="D17" s="1">
        <f>D18</f>
        <v>215000</v>
      </c>
      <c r="E17" s="5" t="s">
        <v>0</v>
      </c>
      <c r="F17" s="146">
        <f>F18</f>
        <v>160000</v>
      </c>
      <c r="G17" s="1">
        <f>G18</f>
        <v>165000</v>
      </c>
      <c r="H17" s="1">
        <f>H18</f>
        <v>170000</v>
      </c>
    </row>
    <row r="18" spans="1:8">
      <c r="A18" s="64" t="s">
        <v>9</v>
      </c>
      <c r="B18" s="2" t="s">
        <v>8</v>
      </c>
      <c r="C18" s="4" t="s">
        <v>227</v>
      </c>
      <c r="D18" s="3">
        <v>215000</v>
      </c>
      <c r="E18" s="4" t="s">
        <v>0</v>
      </c>
      <c r="F18" s="149">
        <v>160000</v>
      </c>
      <c r="G18" s="3">
        <v>165000</v>
      </c>
      <c r="H18" s="3">
        <v>170000</v>
      </c>
    </row>
    <row r="19" spans="1:8">
      <c r="A19" s="63" t="s">
        <v>10</v>
      </c>
      <c r="B19" s="6" t="s">
        <v>11</v>
      </c>
      <c r="C19" s="5" t="s">
        <v>227</v>
      </c>
      <c r="D19" s="1">
        <f>D20+D21</f>
        <v>954000</v>
      </c>
      <c r="E19" s="5" t="s">
        <v>0</v>
      </c>
      <c r="F19" s="146">
        <f>F20+F21</f>
        <v>973818</v>
      </c>
      <c r="G19" s="1">
        <f>G20+G21</f>
        <v>982418</v>
      </c>
      <c r="H19" s="1">
        <f>H20+H21</f>
        <v>991018</v>
      </c>
    </row>
    <row r="20" spans="1:8">
      <c r="A20" s="64" t="s">
        <v>12</v>
      </c>
      <c r="B20" s="2" t="s">
        <v>13</v>
      </c>
      <c r="C20" s="4" t="s">
        <v>227</v>
      </c>
      <c r="D20" s="3">
        <v>860000</v>
      </c>
      <c r="E20" s="4" t="s">
        <v>0</v>
      </c>
      <c r="F20" s="149">
        <v>877045</v>
      </c>
      <c r="G20" s="3">
        <v>884795</v>
      </c>
      <c r="H20" s="3">
        <v>892545</v>
      </c>
    </row>
    <row r="21" spans="1:8">
      <c r="A21" s="64" t="s">
        <v>14</v>
      </c>
      <c r="B21" s="2" t="s">
        <v>15</v>
      </c>
      <c r="C21" s="4" t="s">
        <v>227</v>
      </c>
      <c r="D21" s="3">
        <v>94000</v>
      </c>
      <c r="E21" s="4" t="s">
        <v>0</v>
      </c>
      <c r="F21" s="149">
        <v>96773</v>
      </c>
      <c r="G21" s="3">
        <v>97623</v>
      </c>
      <c r="H21" s="3">
        <v>98473</v>
      </c>
    </row>
    <row r="22" spans="1:8">
      <c r="A22" s="63" t="s">
        <v>16</v>
      </c>
      <c r="B22" s="6" t="s">
        <v>17</v>
      </c>
      <c r="C22" s="5" t="s">
        <v>227</v>
      </c>
      <c r="D22" s="1">
        <f>D23+D24+D25</f>
        <v>488000</v>
      </c>
      <c r="E22" s="5" t="s">
        <v>0</v>
      </c>
      <c r="F22" s="146">
        <f>F23+F24+F25</f>
        <v>385000</v>
      </c>
      <c r="G22" s="1">
        <f>G23+G24+G25</f>
        <v>433000</v>
      </c>
      <c r="H22" s="1">
        <f>H23+H24+H25</f>
        <v>433000</v>
      </c>
    </row>
    <row r="23" spans="1:8">
      <c r="A23" s="64" t="s">
        <v>18</v>
      </c>
      <c r="B23" s="2" t="s">
        <v>19</v>
      </c>
      <c r="C23" s="4" t="s">
        <v>227</v>
      </c>
      <c r="D23" s="3">
        <v>150000</v>
      </c>
      <c r="E23" s="4" t="s">
        <v>0</v>
      </c>
      <c r="F23" s="149">
        <v>80000</v>
      </c>
      <c r="G23" s="3">
        <v>138000</v>
      </c>
      <c r="H23" s="3">
        <v>138000</v>
      </c>
    </row>
    <row r="24" spans="1:8">
      <c r="A24" s="64" t="s">
        <v>20</v>
      </c>
      <c r="B24" s="2" t="s">
        <v>21</v>
      </c>
      <c r="C24" s="4" t="s">
        <v>227</v>
      </c>
      <c r="D24" s="3">
        <v>310000</v>
      </c>
      <c r="E24" s="4" t="s">
        <v>0</v>
      </c>
      <c r="F24" s="149">
        <v>300000</v>
      </c>
      <c r="G24" s="3">
        <v>290000</v>
      </c>
      <c r="H24" s="3">
        <v>290000</v>
      </c>
    </row>
    <row r="25" spans="1:8">
      <c r="A25" s="64" t="s">
        <v>22</v>
      </c>
      <c r="B25" s="2" t="s">
        <v>23</v>
      </c>
      <c r="C25" s="4" t="s">
        <v>227</v>
      </c>
      <c r="D25" s="3">
        <v>28000</v>
      </c>
      <c r="E25" s="4" t="s">
        <v>0</v>
      </c>
      <c r="F25" s="149">
        <v>5000</v>
      </c>
      <c r="G25" s="3">
        <v>5000</v>
      </c>
      <c r="H25" s="3">
        <v>5000</v>
      </c>
    </row>
    <row r="26" spans="1:8">
      <c r="A26" s="63" t="s">
        <v>24</v>
      </c>
      <c r="B26" s="6" t="s">
        <v>25</v>
      </c>
      <c r="C26" s="5" t="s">
        <v>227</v>
      </c>
      <c r="D26" s="1">
        <f>D27+D28+D29+D30+D31</f>
        <v>112200</v>
      </c>
      <c r="E26" s="5" t="s">
        <v>0</v>
      </c>
      <c r="F26" s="146">
        <f>F27+F28+F29+F30+F31</f>
        <v>55400</v>
      </c>
      <c r="G26" s="1">
        <f>G27+G28+G29+G30+G31</f>
        <v>55400</v>
      </c>
      <c r="H26" s="1">
        <f>H27+H28+H29+H30+H31</f>
        <v>55400</v>
      </c>
    </row>
    <row r="27" spans="1:8">
      <c r="A27" s="64" t="s">
        <v>26</v>
      </c>
      <c r="B27" s="2" t="s">
        <v>27</v>
      </c>
      <c r="C27" s="4" t="s">
        <v>227</v>
      </c>
      <c r="D27" s="3">
        <v>100000</v>
      </c>
      <c r="E27" s="4" t="s">
        <v>0</v>
      </c>
      <c r="F27" s="149">
        <v>50200</v>
      </c>
      <c r="G27" s="3">
        <v>50200</v>
      </c>
      <c r="H27" s="3">
        <v>50200</v>
      </c>
    </row>
    <row r="28" spans="1:8">
      <c r="A28" s="64" t="s">
        <v>121</v>
      </c>
      <c r="B28" s="2" t="s">
        <v>122</v>
      </c>
      <c r="C28" s="4" t="s">
        <v>227</v>
      </c>
      <c r="D28" s="3">
        <v>7000</v>
      </c>
      <c r="E28" s="4" t="s">
        <v>0</v>
      </c>
      <c r="F28" s="149">
        <v>500</v>
      </c>
      <c r="G28" s="3">
        <v>500</v>
      </c>
      <c r="H28" s="3">
        <v>500</v>
      </c>
    </row>
    <row r="29" spans="1:8">
      <c r="A29" s="64" t="s">
        <v>28</v>
      </c>
      <c r="B29" s="2" t="s">
        <v>29</v>
      </c>
      <c r="C29" s="4" t="s">
        <v>227</v>
      </c>
      <c r="D29" s="3">
        <v>4000</v>
      </c>
      <c r="E29" s="4" t="s">
        <v>0</v>
      </c>
      <c r="F29" s="149">
        <v>4000</v>
      </c>
      <c r="G29" s="3">
        <v>4000</v>
      </c>
      <c r="H29" s="3">
        <v>4000</v>
      </c>
    </row>
    <row r="30" spans="1:8">
      <c r="A30" s="64" t="s">
        <v>30</v>
      </c>
      <c r="B30" s="2" t="s">
        <v>31</v>
      </c>
      <c r="C30" s="4" t="s">
        <v>227</v>
      </c>
      <c r="D30" s="3">
        <v>200</v>
      </c>
      <c r="E30" s="4" t="s">
        <v>0</v>
      </c>
      <c r="F30" s="149">
        <v>200</v>
      </c>
      <c r="G30" s="3">
        <v>200</v>
      </c>
      <c r="H30" s="3">
        <v>200</v>
      </c>
    </row>
    <row r="31" spans="1:8">
      <c r="A31" s="64" t="s">
        <v>32</v>
      </c>
      <c r="B31" s="2" t="s">
        <v>33</v>
      </c>
      <c r="C31" s="4" t="s">
        <v>227</v>
      </c>
      <c r="D31" s="3">
        <v>1000</v>
      </c>
      <c r="E31" s="4" t="s">
        <v>0</v>
      </c>
      <c r="F31" s="149">
        <v>500</v>
      </c>
      <c r="G31" s="3">
        <v>500</v>
      </c>
      <c r="H31" s="3">
        <v>500</v>
      </c>
    </row>
    <row r="32" spans="1:8">
      <c r="A32" s="63" t="s">
        <v>34</v>
      </c>
      <c r="B32" s="6" t="s">
        <v>35</v>
      </c>
      <c r="C32" s="5" t="s">
        <v>227</v>
      </c>
      <c r="D32" s="1">
        <f>D33+D34+D35+D36+D37+D38+D39+D40+D41</f>
        <v>554500</v>
      </c>
      <c r="E32" s="5" t="s">
        <v>0</v>
      </c>
      <c r="F32" s="146">
        <f>F33+F34+F35+F36+F37+F38+F39+F40+F41</f>
        <v>480000</v>
      </c>
      <c r="G32" s="1">
        <f>G33+G34+G35+G36+G37+G38+G39+G40+G41</f>
        <v>480000</v>
      </c>
      <c r="H32" s="1">
        <f>H33+H34+H35+H36+H37+H38+H39+H40+H41</f>
        <v>480000</v>
      </c>
    </row>
    <row r="33" spans="1:8">
      <c r="A33" s="64" t="s">
        <v>36</v>
      </c>
      <c r="B33" s="2" t="s">
        <v>37</v>
      </c>
      <c r="C33" s="4" t="s">
        <v>227</v>
      </c>
      <c r="D33" s="3">
        <v>100000</v>
      </c>
      <c r="E33" s="4" t="s">
        <v>0</v>
      </c>
      <c r="F33" s="149">
        <v>110000</v>
      </c>
      <c r="G33" s="3">
        <v>100000</v>
      </c>
      <c r="H33" s="3">
        <v>100000</v>
      </c>
    </row>
    <row r="34" spans="1:8">
      <c r="A34" s="64" t="s">
        <v>38</v>
      </c>
      <c r="B34" s="2" t="s">
        <v>39</v>
      </c>
      <c r="C34" s="4" t="s">
        <v>227</v>
      </c>
      <c r="D34" s="3">
        <v>70000</v>
      </c>
      <c r="E34" s="4" t="s">
        <v>0</v>
      </c>
      <c r="F34" s="149">
        <v>50000</v>
      </c>
      <c r="G34" s="3">
        <v>50000</v>
      </c>
      <c r="H34" s="3">
        <v>50000</v>
      </c>
    </row>
    <row r="35" spans="1:8">
      <c r="A35" s="64" t="s">
        <v>40</v>
      </c>
      <c r="B35" s="2" t="s">
        <v>41</v>
      </c>
      <c r="C35" s="4" t="s">
        <v>227</v>
      </c>
      <c r="D35" s="3">
        <v>10000</v>
      </c>
      <c r="E35" s="4" t="s">
        <v>0</v>
      </c>
      <c r="F35" s="149">
        <v>10000</v>
      </c>
      <c r="G35" s="3">
        <v>10000</v>
      </c>
      <c r="H35" s="3">
        <v>10000</v>
      </c>
    </row>
    <row r="36" spans="1:8">
      <c r="A36" s="64" t="s">
        <v>42</v>
      </c>
      <c r="B36" s="2" t="s">
        <v>43</v>
      </c>
      <c r="C36" s="4" t="s">
        <v>227</v>
      </c>
      <c r="D36" s="3">
        <v>100</v>
      </c>
      <c r="E36" s="4" t="s">
        <v>0</v>
      </c>
      <c r="F36" s="149">
        <v>0</v>
      </c>
      <c r="G36" s="3">
        <v>0</v>
      </c>
      <c r="H36" s="3">
        <v>0</v>
      </c>
    </row>
    <row r="37" spans="1:8">
      <c r="A37" s="64" t="s">
        <v>44</v>
      </c>
      <c r="B37" s="2" t="s">
        <v>45</v>
      </c>
      <c r="C37" s="4" t="s">
        <v>227</v>
      </c>
      <c r="D37" s="3">
        <v>27000</v>
      </c>
      <c r="E37" s="4" t="s">
        <v>0</v>
      </c>
      <c r="F37" s="149">
        <v>30000</v>
      </c>
      <c r="G37" s="3">
        <v>30000</v>
      </c>
      <c r="H37" s="3">
        <v>30000</v>
      </c>
    </row>
    <row r="38" spans="1:8">
      <c r="A38" s="64">
        <v>3236</v>
      </c>
      <c r="B38" s="2" t="s">
        <v>47</v>
      </c>
      <c r="C38" s="4" t="s">
        <v>227</v>
      </c>
      <c r="D38" s="3">
        <v>37000</v>
      </c>
      <c r="E38" s="4" t="s">
        <v>0</v>
      </c>
      <c r="F38" s="149">
        <v>25000</v>
      </c>
      <c r="G38" s="3">
        <v>25000</v>
      </c>
      <c r="H38" s="3">
        <v>25000</v>
      </c>
    </row>
    <row r="39" spans="1:8">
      <c r="A39" s="64" t="s">
        <v>48</v>
      </c>
      <c r="B39" s="2" t="s">
        <v>49</v>
      </c>
      <c r="C39" s="4" t="s">
        <v>227</v>
      </c>
      <c r="D39" s="3">
        <v>50000</v>
      </c>
      <c r="E39" s="4" t="s">
        <v>0</v>
      </c>
      <c r="F39" s="149">
        <v>40000</v>
      </c>
      <c r="G39" s="3">
        <v>50000</v>
      </c>
      <c r="H39" s="3">
        <v>50000</v>
      </c>
    </row>
    <row r="40" spans="1:8">
      <c r="A40" s="64" t="s">
        <v>50</v>
      </c>
      <c r="B40" s="2" t="s">
        <v>51</v>
      </c>
      <c r="C40" s="4" t="s">
        <v>227</v>
      </c>
      <c r="D40" s="3">
        <v>245400</v>
      </c>
      <c r="E40" s="4" t="s">
        <v>0</v>
      </c>
      <c r="F40" s="149">
        <v>200000</v>
      </c>
      <c r="G40" s="3">
        <v>200000</v>
      </c>
      <c r="H40" s="3">
        <v>200000</v>
      </c>
    </row>
    <row r="41" spans="1:8">
      <c r="A41" s="64" t="s">
        <v>52</v>
      </c>
      <c r="B41" s="2" t="s">
        <v>53</v>
      </c>
      <c r="C41" s="4" t="s">
        <v>227</v>
      </c>
      <c r="D41" s="3">
        <v>15000</v>
      </c>
      <c r="E41" s="4" t="s">
        <v>0</v>
      </c>
      <c r="F41" s="149">
        <v>15000</v>
      </c>
      <c r="G41" s="3">
        <v>15000</v>
      </c>
      <c r="H41" s="3">
        <v>15000</v>
      </c>
    </row>
    <row r="42" spans="1:8">
      <c r="A42" s="63" t="s">
        <v>57</v>
      </c>
      <c r="B42" s="6" t="s">
        <v>58</v>
      </c>
      <c r="C42" s="5" t="s">
        <v>227</v>
      </c>
      <c r="D42" s="1">
        <f>D43+D44+D45+D46+D47+D48+D49</f>
        <v>808800</v>
      </c>
      <c r="E42" s="5" t="s">
        <v>0</v>
      </c>
      <c r="F42" s="146">
        <f>F43+F44+F45+F46+F47+F48+F49</f>
        <v>1236500</v>
      </c>
      <c r="G42" s="1">
        <f>G43+G44+G45+G46+G47+G48+G49</f>
        <v>1172900</v>
      </c>
      <c r="H42" s="1">
        <f>H43+H44+H45+H46+H47+H48+H49</f>
        <v>1109300</v>
      </c>
    </row>
    <row r="43" spans="1:8">
      <c r="A43" s="64" t="s">
        <v>59</v>
      </c>
      <c r="B43" s="2" t="s">
        <v>60</v>
      </c>
      <c r="C43" s="4" t="s">
        <v>227</v>
      </c>
      <c r="D43" s="3">
        <v>62000</v>
      </c>
      <c r="E43" s="4" t="s">
        <v>0</v>
      </c>
      <c r="F43" s="149">
        <v>62000</v>
      </c>
      <c r="G43" s="3">
        <v>62000</v>
      </c>
      <c r="H43" s="3">
        <v>62000</v>
      </c>
    </row>
    <row r="44" spans="1:8">
      <c r="A44" s="64" t="s">
        <v>61</v>
      </c>
      <c r="B44" s="2" t="s">
        <v>62</v>
      </c>
      <c r="C44" s="4" t="s">
        <v>227</v>
      </c>
      <c r="D44" s="3">
        <v>4300</v>
      </c>
      <c r="E44" s="4" t="s">
        <v>0</v>
      </c>
      <c r="F44" s="149">
        <v>5000</v>
      </c>
      <c r="G44" s="3">
        <v>5000</v>
      </c>
      <c r="H44" s="3">
        <v>5000</v>
      </c>
    </row>
    <row r="45" spans="1:8">
      <c r="A45" s="64" t="s">
        <v>63</v>
      </c>
      <c r="B45" s="2" t="s">
        <v>64</v>
      </c>
      <c r="C45" s="4" t="s">
        <v>227</v>
      </c>
      <c r="D45" s="3">
        <v>30000</v>
      </c>
      <c r="E45" s="4" t="s">
        <v>0</v>
      </c>
      <c r="F45" s="149">
        <v>15000</v>
      </c>
      <c r="G45" s="3">
        <v>15000</v>
      </c>
      <c r="H45" s="3">
        <v>15000</v>
      </c>
    </row>
    <row r="46" spans="1:8">
      <c r="A46" s="64" t="s">
        <v>65</v>
      </c>
      <c r="B46" s="2" t="s">
        <v>66</v>
      </c>
      <c r="C46" s="4" t="s">
        <v>227</v>
      </c>
      <c r="D46" s="3">
        <v>698000</v>
      </c>
      <c r="E46" s="4" t="s">
        <v>0</v>
      </c>
      <c r="F46" s="149">
        <v>1140000</v>
      </c>
      <c r="G46" s="3">
        <v>1076400</v>
      </c>
      <c r="H46" s="3">
        <v>1012800</v>
      </c>
    </row>
    <row r="47" spans="1:8">
      <c r="A47" s="64">
        <v>3295</v>
      </c>
      <c r="B47" s="2" t="s">
        <v>68</v>
      </c>
      <c r="C47" s="4" t="s">
        <v>227</v>
      </c>
      <c r="D47" s="3">
        <v>13000</v>
      </c>
      <c r="E47" s="4" t="s">
        <v>0</v>
      </c>
      <c r="F47" s="149">
        <v>13000</v>
      </c>
      <c r="G47" s="3">
        <v>13000</v>
      </c>
      <c r="H47" s="3">
        <v>13000</v>
      </c>
    </row>
    <row r="48" spans="1:8">
      <c r="A48" s="64">
        <v>3296</v>
      </c>
      <c r="B48" s="2" t="s">
        <v>106</v>
      </c>
      <c r="C48" s="4" t="s">
        <v>227</v>
      </c>
      <c r="D48" s="3">
        <v>1000</v>
      </c>
      <c r="E48" s="4" t="s">
        <v>0</v>
      </c>
      <c r="F48" s="149">
        <v>1000</v>
      </c>
      <c r="G48" s="3">
        <v>1000</v>
      </c>
      <c r="H48" s="3">
        <v>1000</v>
      </c>
    </row>
    <row r="49" spans="1:8">
      <c r="A49" s="64" t="s">
        <v>69</v>
      </c>
      <c r="B49" s="2" t="s">
        <v>58</v>
      </c>
      <c r="C49" s="4" t="s">
        <v>227</v>
      </c>
      <c r="D49" s="3">
        <v>500</v>
      </c>
      <c r="E49" s="4" t="s">
        <v>0</v>
      </c>
      <c r="F49" s="149">
        <v>500</v>
      </c>
      <c r="G49" s="3">
        <v>500</v>
      </c>
      <c r="H49" s="3">
        <v>500</v>
      </c>
    </row>
    <row r="50" spans="1:8">
      <c r="A50" s="63" t="s">
        <v>70</v>
      </c>
      <c r="B50" s="6" t="s">
        <v>71</v>
      </c>
      <c r="C50" s="5" t="s">
        <v>227</v>
      </c>
      <c r="D50" s="1">
        <f>D51+D52+D53</f>
        <v>4500</v>
      </c>
      <c r="E50" s="5" t="s">
        <v>0</v>
      </c>
      <c r="F50" s="146">
        <f>F51+F52+F53</f>
        <v>3100</v>
      </c>
      <c r="G50" s="1">
        <f>G51+G52+G53</f>
        <v>4100</v>
      </c>
      <c r="H50" s="1">
        <f>H51+H52+H53</f>
        <v>4100</v>
      </c>
    </row>
    <row r="51" spans="1:8">
      <c r="A51" s="64" t="s">
        <v>72</v>
      </c>
      <c r="B51" s="2" t="s">
        <v>73</v>
      </c>
      <c r="C51" s="4" t="s">
        <v>227</v>
      </c>
      <c r="D51" s="3">
        <v>2000</v>
      </c>
      <c r="E51" s="4" t="s">
        <v>0</v>
      </c>
      <c r="F51" s="149">
        <v>1000</v>
      </c>
      <c r="G51" s="3">
        <v>2000</v>
      </c>
      <c r="H51" s="3">
        <v>2000</v>
      </c>
    </row>
    <row r="52" spans="1:8">
      <c r="A52" s="64" t="s">
        <v>74</v>
      </c>
      <c r="B52" s="2" t="s">
        <v>75</v>
      </c>
      <c r="C52" s="4" t="s">
        <v>227</v>
      </c>
      <c r="D52" s="3">
        <v>500</v>
      </c>
      <c r="E52" s="4" t="s">
        <v>0</v>
      </c>
      <c r="F52" s="149">
        <v>100</v>
      </c>
      <c r="G52" s="3">
        <v>100</v>
      </c>
      <c r="H52" s="3">
        <v>100</v>
      </c>
    </row>
    <row r="53" spans="1:8">
      <c r="A53" s="64" t="s">
        <v>76</v>
      </c>
      <c r="B53" s="2" t="s">
        <v>77</v>
      </c>
      <c r="C53" s="4" t="s">
        <v>227</v>
      </c>
      <c r="D53" s="3">
        <v>2000</v>
      </c>
      <c r="E53" s="4" t="s">
        <v>0</v>
      </c>
      <c r="F53" s="149">
        <v>2000</v>
      </c>
      <c r="G53" s="3">
        <v>2000</v>
      </c>
      <c r="H53" s="3">
        <v>2000</v>
      </c>
    </row>
    <row r="54" spans="1:8">
      <c r="A54" s="63" t="s">
        <v>88</v>
      </c>
      <c r="B54" s="6" t="s">
        <v>89</v>
      </c>
      <c r="C54" s="5" t="s">
        <v>227</v>
      </c>
      <c r="D54" s="1">
        <f>D55+D56</f>
        <v>10000</v>
      </c>
      <c r="E54" s="5" t="s">
        <v>0</v>
      </c>
      <c r="F54" s="146">
        <f>F55+F56</f>
        <v>104000</v>
      </c>
      <c r="G54" s="1">
        <f>G55+G56</f>
        <v>55000</v>
      </c>
      <c r="H54" s="1">
        <f>H55+H56</f>
        <v>55000</v>
      </c>
    </row>
    <row r="55" spans="1:8">
      <c r="A55" s="64" t="s">
        <v>90</v>
      </c>
      <c r="B55" s="2" t="s">
        <v>91</v>
      </c>
      <c r="C55" s="4" t="s">
        <v>227</v>
      </c>
      <c r="D55" s="3">
        <v>5000</v>
      </c>
      <c r="E55" s="4" t="s">
        <v>0</v>
      </c>
      <c r="F55" s="149">
        <v>104000</v>
      </c>
      <c r="G55" s="3">
        <v>50000</v>
      </c>
      <c r="H55" s="3">
        <v>50000</v>
      </c>
    </row>
    <row r="56" spans="1:8">
      <c r="A56" s="64">
        <v>4223</v>
      </c>
      <c r="B56" s="2" t="s">
        <v>95</v>
      </c>
      <c r="C56" s="4" t="s">
        <v>227</v>
      </c>
      <c r="D56" s="3">
        <v>5000</v>
      </c>
      <c r="E56" s="4" t="s">
        <v>0</v>
      </c>
      <c r="F56" s="149">
        <v>0</v>
      </c>
      <c r="G56" s="3">
        <v>5000</v>
      </c>
      <c r="H56" s="3">
        <v>5000</v>
      </c>
    </row>
    <row r="57" spans="1:8">
      <c r="A57" s="62" t="s">
        <v>137</v>
      </c>
      <c r="B57" s="8" t="s">
        <v>138</v>
      </c>
      <c r="C57" s="10"/>
      <c r="D57" s="9">
        <f>D58+D61</f>
        <v>200000</v>
      </c>
      <c r="E57" s="10"/>
      <c r="F57" s="145">
        <f>F58+F61</f>
        <v>252000</v>
      </c>
      <c r="G57" s="9">
        <f>G58+G61</f>
        <v>252000</v>
      </c>
      <c r="H57" s="9">
        <f>H58+H61</f>
        <v>252000</v>
      </c>
    </row>
    <row r="58" spans="1:8">
      <c r="A58" s="63" t="s">
        <v>34</v>
      </c>
      <c r="B58" s="6" t="s">
        <v>35</v>
      </c>
      <c r="C58" s="5" t="s">
        <v>227</v>
      </c>
      <c r="D58" s="1">
        <f>D59+D60</f>
        <v>8000</v>
      </c>
      <c r="E58" s="19">
        <v>12</v>
      </c>
      <c r="F58" s="146">
        <f>F59+F60</f>
        <v>60000</v>
      </c>
      <c r="G58" s="1">
        <f>G59+G60</f>
        <v>60000</v>
      </c>
      <c r="H58" s="1">
        <f>H59+H60</f>
        <v>60000</v>
      </c>
    </row>
    <row r="59" spans="1:8">
      <c r="A59" s="64" t="s">
        <v>48</v>
      </c>
      <c r="B59" s="2" t="s">
        <v>49</v>
      </c>
      <c r="C59" s="7" t="s">
        <v>227</v>
      </c>
      <c r="D59" s="3">
        <v>5000</v>
      </c>
      <c r="E59" s="7">
        <v>12</v>
      </c>
      <c r="F59" s="3">
        <v>0</v>
      </c>
      <c r="G59" s="3">
        <v>60000</v>
      </c>
      <c r="H59" s="3">
        <v>60000</v>
      </c>
    </row>
    <row r="60" spans="1:8">
      <c r="A60" s="64" t="s">
        <v>50</v>
      </c>
      <c r="B60" s="2" t="s">
        <v>51</v>
      </c>
      <c r="C60" s="7" t="s">
        <v>227</v>
      </c>
      <c r="D60" s="3">
        <v>3000</v>
      </c>
      <c r="E60" s="7" t="s">
        <v>82</v>
      </c>
      <c r="F60" s="3">
        <v>60000</v>
      </c>
      <c r="G60" s="3">
        <v>0</v>
      </c>
      <c r="H60" s="3"/>
    </row>
    <row r="61" spans="1:8">
      <c r="A61" s="106" t="s">
        <v>34</v>
      </c>
      <c r="B61" s="107" t="s">
        <v>35</v>
      </c>
      <c r="C61" s="108" t="s">
        <v>227</v>
      </c>
      <c r="D61" s="372">
        <f>D62+D63</f>
        <v>192000</v>
      </c>
      <c r="E61" s="108" t="s">
        <v>235</v>
      </c>
      <c r="F61" s="373">
        <f>F62+F63</f>
        <v>192000</v>
      </c>
      <c r="G61" s="372">
        <f>G62+G63</f>
        <v>192000</v>
      </c>
      <c r="H61" s="372">
        <f>H62+H63</f>
        <v>192000</v>
      </c>
    </row>
    <row r="62" spans="1:8">
      <c r="A62" s="102" t="s">
        <v>48</v>
      </c>
      <c r="B62" s="103" t="s">
        <v>49</v>
      </c>
      <c r="C62" s="104" t="s">
        <v>227</v>
      </c>
      <c r="D62" s="105">
        <v>130000</v>
      </c>
      <c r="E62" s="104" t="s">
        <v>235</v>
      </c>
      <c r="F62" s="105">
        <v>130000</v>
      </c>
      <c r="G62" s="105">
        <v>130000</v>
      </c>
      <c r="H62" s="105">
        <v>130000</v>
      </c>
    </row>
    <row r="63" spans="1:8">
      <c r="A63" s="102" t="s">
        <v>50</v>
      </c>
      <c r="B63" s="103" t="s">
        <v>51</v>
      </c>
      <c r="C63" s="104" t="s">
        <v>227</v>
      </c>
      <c r="D63" s="105">
        <v>62000</v>
      </c>
      <c r="E63" s="104" t="s">
        <v>235</v>
      </c>
      <c r="F63" s="105">
        <v>62000</v>
      </c>
      <c r="G63" s="105">
        <v>62000</v>
      </c>
      <c r="H63" s="105">
        <v>62000</v>
      </c>
    </row>
    <row r="64" spans="1:8">
      <c r="A64" s="62" t="s">
        <v>139</v>
      </c>
      <c r="B64" s="8" t="s">
        <v>87</v>
      </c>
      <c r="C64" s="10"/>
      <c r="D64" s="9">
        <f>D65+D67+D69+D71</f>
        <v>420000</v>
      </c>
      <c r="E64" s="27">
        <v>11</v>
      </c>
      <c r="F64" s="145">
        <f>F65+F67+F69+F71</f>
        <v>380000</v>
      </c>
      <c r="G64" s="9">
        <f>G65+G67+G69+G71</f>
        <v>380000</v>
      </c>
      <c r="H64" s="9">
        <f>H65+H67+H69+H71</f>
        <v>380000</v>
      </c>
    </row>
    <row r="65" spans="1:8">
      <c r="A65" s="63" t="s">
        <v>34</v>
      </c>
      <c r="B65" s="6" t="s">
        <v>35</v>
      </c>
      <c r="C65" s="5" t="s">
        <v>227</v>
      </c>
      <c r="D65" s="1">
        <f>D66</f>
        <v>0</v>
      </c>
      <c r="E65" s="5" t="s">
        <v>0</v>
      </c>
      <c r="F65" s="146">
        <f>F66</f>
        <v>0</v>
      </c>
      <c r="G65" s="1">
        <f>G66</f>
        <v>0</v>
      </c>
      <c r="H65" s="1">
        <f>H66</f>
        <v>0</v>
      </c>
    </row>
    <row r="66" spans="1:8">
      <c r="A66" s="64" t="s">
        <v>50</v>
      </c>
      <c r="B66" s="2" t="s">
        <v>51</v>
      </c>
      <c r="C66" s="7" t="s">
        <v>227</v>
      </c>
      <c r="D66" s="3">
        <v>0</v>
      </c>
      <c r="E66" s="7" t="s">
        <v>0</v>
      </c>
      <c r="F66" s="3">
        <v>0</v>
      </c>
      <c r="G66" s="3">
        <v>0</v>
      </c>
      <c r="H66" s="3">
        <v>0</v>
      </c>
    </row>
    <row r="67" spans="1:8">
      <c r="A67" s="63" t="s">
        <v>83</v>
      </c>
      <c r="B67" s="6" t="s">
        <v>84</v>
      </c>
      <c r="C67" s="5" t="s">
        <v>227</v>
      </c>
      <c r="D67" s="1">
        <f>D68</f>
        <v>260000</v>
      </c>
      <c r="E67" s="374" t="str">
        <f t="shared" ref="E67" si="0">E68</f>
        <v>11</v>
      </c>
      <c r="F67" s="146">
        <f>F68</f>
        <v>240000</v>
      </c>
      <c r="G67" s="1">
        <f>G68</f>
        <v>240000</v>
      </c>
      <c r="H67" s="1">
        <f>H68</f>
        <v>240000</v>
      </c>
    </row>
    <row r="68" spans="1:8">
      <c r="A68" s="64" t="s">
        <v>85</v>
      </c>
      <c r="B68" s="2" t="s">
        <v>86</v>
      </c>
      <c r="C68" s="4" t="s">
        <v>227</v>
      </c>
      <c r="D68" s="3">
        <v>260000</v>
      </c>
      <c r="E68" s="4" t="s">
        <v>0</v>
      </c>
      <c r="F68" s="149">
        <v>240000</v>
      </c>
      <c r="G68" s="3">
        <v>240000</v>
      </c>
      <c r="H68" s="3">
        <v>240000</v>
      </c>
    </row>
    <row r="69" spans="1:8">
      <c r="A69" s="63" t="s">
        <v>88</v>
      </c>
      <c r="B69" s="6" t="s">
        <v>89</v>
      </c>
      <c r="C69" s="5" t="s">
        <v>227</v>
      </c>
      <c r="D69" s="1">
        <f>D70</f>
        <v>10000</v>
      </c>
      <c r="E69" s="374" t="str">
        <f t="shared" ref="E69" si="1">E70</f>
        <v>11</v>
      </c>
      <c r="F69" s="146">
        <f>F70</f>
        <v>10000</v>
      </c>
      <c r="G69" s="1">
        <f>G70</f>
        <v>10000</v>
      </c>
      <c r="H69" s="1">
        <f>H70</f>
        <v>10000</v>
      </c>
    </row>
    <row r="70" spans="1:8">
      <c r="A70" s="64" t="s">
        <v>90</v>
      </c>
      <c r="B70" s="2" t="s">
        <v>91</v>
      </c>
      <c r="C70" s="4" t="s">
        <v>227</v>
      </c>
      <c r="D70" s="3">
        <v>10000</v>
      </c>
      <c r="E70" s="4" t="s">
        <v>0</v>
      </c>
      <c r="F70" s="149">
        <v>10000</v>
      </c>
      <c r="G70" s="3">
        <v>10000</v>
      </c>
      <c r="H70" s="3">
        <v>10000</v>
      </c>
    </row>
    <row r="71" spans="1:8">
      <c r="A71" s="63" t="s">
        <v>140</v>
      </c>
      <c r="B71" s="6" t="s">
        <v>141</v>
      </c>
      <c r="C71" s="5" t="s">
        <v>227</v>
      </c>
      <c r="D71" s="1">
        <f>D72</f>
        <v>150000</v>
      </c>
      <c r="E71" s="374" t="str">
        <f t="shared" ref="E71" si="2">E72</f>
        <v>11</v>
      </c>
      <c r="F71" s="146">
        <f>F72</f>
        <v>130000</v>
      </c>
      <c r="G71" s="1">
        <f>G72</f>
        <v>130000</v>
      </c>
      <c r="H71" s="1">
        <f>H72</f>
        <v>130000</v>
      </c>
    </row>
    <row r="72" spans="1:8">
      <c r="A72" s="64" t="s">
        <v>142</v>
      </c>
      <c r="B72" s="2" t="s">
        <v>143</v>
      </c>
      <c r="C72" s="4" t="s">
        <v>227</v>
      </c>
      <c r="D72" s="3">
        <v>150000</v>
      </c>
      <c r="E72" s="4" t="s">
        <v>0</v>
      </c>
      <c r="F72" s="149">
        <v>130000</v>
      </c>
      <c r="G72" s="3">
        <v>130000</v>
      </c>
      <c r="H72" s="3">
        <v>130000</v>
      </c>
    </row>
  </sheetData>
  <customSheetViews>
    <customSheetView guid="{DE360DA9-5353-4F03-95DA-9238CFBE39D8}" scale="110" showPageBreaks="1" printArea="1" state="hidden">
      <pane ySplit="12" topLeftCell="A13" activePane="bottomLeft" state="frozen"/>
      <selection pane="bottomLeft" activeCell="F3" sqref="F3:H3"/>
      <rowBreaks count="1" manualBreakCount="1">
        <brk id="36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1"/>
      <headerFooter>
        <oddFooter>&amp;CH Z N&amp;R&amp;P</oddFooter>
      </headerFooter>
    </customSheetView>
    <customSheetView guid="{4FFB33FE-6696-4144-BF99-378C5196B940}" scale="110" showPageBreaks="1" printArea="1" state="hidden">
      <pane ySplit="12" topLeftCell="A13" activePane="bottomLeft" state="frozen"/>
      <selection pane="bottomLeft" activeCell="F3" sqref="F3:H3"/>
      <rowBreaks count="1" manualBreakCount="1">
        <brk id="36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2"/>
      <headerFooter>
        <oddFooter>&amp;CH Z N&amp;R&amp;P</oddFooter>
      </headerFooter>
    </customSheetView>
    <customSheetView guid="{3D59341C-00F4-4635-AC4F-8988CF6BE637}" scale="110" state="hidden">
      <pane ySplit="12" topLeftCell="A13" activePane="bottomLeft" state="frozen"/>
      <selection pane="bottomLeft" activeCell="F3" sqref="F3:H3"/>
      <rowBreaks count="1" manualBreakCount="1">
        <brk id="36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3"/>
      <headerFooter>
        <oddFooter>&amp;CH Z N&amp;R&amp;P</oddFooter>
      </headerFooter>
    </customSheetView>
    <customSheetView guid="{5251AB89-31D9-4C6C-945A-13C9748C2E26}" scale="110" state="hidden">
      <pane ySplit="12" topLeftCell="A13" activePane="bottomLeft" state="frozen"/>
      <selection pane="bottomLeft" activeCell="F3" sqref="F3:H3"/>
      <rowBreaks count="1" manualBreakCount="1">
        <brk id="36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4"/>
      <headerFooter>
        <oddFooter>&amp;CH Z N&amp;R&amp;P</oddFooter>
      </headerFooter>
    </customSheetView>
    <customSheetView guid="{14A1FC8C-94B5-4B4E-9269-30661976D1D1}" scale="110" state="hidden">
      <pane ySplit="12" topLeftCell="A13" activePane="bottomLeft" state="frozen"/>
      <selection pane="bottomLeft" activeCell="F3" sqref="F3:H3"/>
      <rowBreaks count="1" manualBreakCount="1">
        <brk id="36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5"/>
      <headerFooter>
        <oddFooter>&amp;CH Z N&amp;R&amp;P</oddFooter>
      </headerFooter>
    </customSheetView>
    <customSheetView guid="{D0F51479-7B68-4FFC-8604-F0A17468B00E}" scale="110" state="hidden">
      <pane ySplit="12" topLeftCell="A13" activePane="bottomLeft" state="frozen"/>
      <selection pane="bottomLeft" activeCell="F3" sqref="F3:H3"/>
      <rowBreaks count="1" manualBreakCount="1">
        <brk id="36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6"/>
      <headerFooter>
        <oddFooter>&amp;CH Z N&amp;R&amp;P</oddFooter>
      </headerFooter>
    </customSheetView>
    <customSheetView guid="{0D7CE69A-AF67-471F-AE1C-92FEF35D1955}" scale="110" showPageBreaks="1" printArea="1" state="hidden">
      <pane ySplit="12" topLeftCell="A13" activePane="bottomLeft" state="frozen"/>
      <selection pane="bottomLeft" activeCell="F3" sqref="F3:H3"/>
      <rowBreaks count="1" manualBreakCount="1">
        <brk id="36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7"/>
      <headerFooter>
        <oddFooter>&amp;CH Z N&amp;R&amp;P</oddFooter>
      </headerFooter>
    </customSheetView>
    <customSheetView guid="{3EC3B099-A84F-48D2-A97E-B7686AB72BE7}" scale="110" showPageBreaks="1" printArea="1" state="hidden">
      <pane ySplit="12" topLeftCell="A13" activePane="bottomLeft" state="frozen"/>
      <selection pane="bottomLeft" activeCell="F3" sqref="F3:H3"/>
      <rowBreaks count="1" manualBreakCount="1">
        <brk id="36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8"/>
      <headerFooter>
        <oddFooter>&amp;CH Z N&amp;R&amp;P</oddFooter>
      </headerFooter>
    </customSheetView>
  </customSheetViews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7" orientation="landscape" r:id="rId9"/>
  <headerFooter>
    <oddFooter>&amp;CH Z N&amp;R&amp;P</oddFooter>
  </headerFooter>
  <rowBreaks count="1" manualBreakCount="1">
    <brk id="36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8"/>
  <sheetViews>
    <sheetView zoomScale="110" zoomScaleNormal="110" zoomScaleSheetLayoutView="100" workbookViewId="0">
      <pane ySplit="12" topLeftCell="A28" activePane="bottomLeft" state="frozen"/>
      <selection pane="bottomLeft" activeCell="F3" sqref="F3:H3"/>
    </sheetView>
  </sheetViews>
  <sheetFormatPr defaultRowHeight="15"/>
  <cols>
    <col min="1" max="1" width="10.7109375" style="61" customWidth="1"/>
    <col min="2" max="2" width="50.7109375" customWidth="1"/>
    <col min="3" max="3" width="5.7109375" customWidth="1"/>
    <col min="4" max="4" width="14.7109375" customWidth="1"/>
    <col min="5" max="5" width="5.7109375" customWidth="1"/>
    <col min="6" max="8" width="16.7109375" customWidth="1"/>
    <col min="9" max="9" width="12.85546875" customWidth="1"/>
    <col min="11" max="11" width="11.7109375" bestFit="1" customWidth="1"/>
  </cols>
  <sheetData>
    <row r="1" spans="1:11" ht="25.5" customHeight="1">
      <c r="A1" s="76"/>
      <c r="B1" s="77"/>
      <c r="C1" s="78" t="s">
        <v>220</v>
      </c>
      <c r="D1" s="78" t="s">
        <v>302</v>
      </c>
      <c r="E1" s="78" t="s">
        <v>180</v>
      </c>
      <c r="F1" s="73" t="s">
        <v>398</v>
      </c>
      <c r="G1" s="73" t="s">
        <v>399</v>
      </c>
      <c r="H1" s="287" t="s">
        <v>400</v>
      </c>
    </row>
    <row r="2" spans="1:11" ht="25.5" customHeight="1">
      <c r="A2" s="79" t="s">
        <v>144</v>
      </c>
      <c r="B2" s="83" t="s">
        <v>145</v>
      </c>
      <c r="C2" s="81"/>
      <c r="D2" s="82">
        <f>D13+D56+D66+D61</f>
        <v>7619262</v>
      </c>
      <c r="E2" s="82"/>
      <c r="F2" s="82">
        <f t="shared" ref="F2:H2" si="0">F13+F56+F66+F61</f>
        <v>8025234</v>
      </c>
      <c r="G2" s="82">
        <f>G13+G56+G66+G61</f>
        <v>7625234</v>
      </c>
      <c r="H2" s="82">
        <f t="shared" si="0"/>
        <v>7625234</v>
      </c>
    </row>
    <row r="3" spans="1:11" ht="15" customHeight="1">
      <c r="A3" s="1058"/>
      <c r="B3" s="1058"/>
      <c r="C3" s="1059"/>
      <c r="D3" s="21">
        <f>D13+D56</f>
        <v>7524000</v>
      </c>
      <c r="E3" s="87">
        <v>11</v>
      </c>
      <c r="F3" s="142">
        <f>F13+F56</f>
        <v>8025234</v>
      </c>
      <c r="G3" s="142">
        <f>G13+G56</f>
        <v>7625234</v>
      </c>
      <c r="H3" s="21">
        <f>H13+H56</f>
        <v>7625234</v>
      </c>
      <c r="I3" s="22"/>
      <c r="K3" s="22"/>
    </row>
    <row r="4" spans="1:11">
      <c r="A4" s="1060"/>
      <c r="B4" s="1060"/>
      <c r="C4" s="1061"/>
      <c r="D4" s="21">
        <v>0</v>
      </c>
      <c r="E4" s="20">
        <v>12</v>
      </c>
      <c r="F4" s="142">
        <v>0</v>
      </c>
      <c r="G4" s="142">
        <v>0</v>
      </c>
      <c r="H4" s="21">
        <v>0</v>
      </c>
    </row>
    <row r="5" spans="1:11">
      <c r="A5" s="1060"/>
      <c r="B5" s="1060"/>
      <c r="C5" s="1061"/>
      <c r="D5" s="29">
        <f>D3+D4</f>
        <v>7524000</v>
      </c>
      <c r="E5" s="30" t="s">
        <v>267</v>
      </c>
      <c r="F5" s="143">
        <f>F3+F4</f>
        <v>8025234</v>
      </c>
      <c r="G5" s="143">
        <f>G3+G4</f>
        <v>7625234</v>
      </c>
      <c r="H5" s="29">
        <f>H3+H4</f>
        <v>7625234</v>
      </c>
    </row>
    <row r="6" spans="1:11">
      <c r="A6" s="1060"/>
      <c r="B6" s="1060"/>
      <c r="C6" s="1061"/>
      <c r="D6" s="21">
        <f>D62+D63+D64+D65</f>
        <v>79383</v>
      </c>
      <c r="E6" s="20" t="s">
        <v>216</v>
      </c>
      <c r="F6" s="142">
        <v>0</v>
      </c>
      <c r="G6" s="142">
        <v>0</v>
      </c>
      <c r="H6" s="21">
        <v>0</v>
      </c>
    </row>
    <row r="7" spans="1:11">
      <c r="A7" s="1060"/>
      <c r="B7" s="1060"/>
      <c r="C7" s="1061"/>
      <c r="D7" s="21">
        <v>0</v>
      </c>
      <c r="E7" s="20" t="s">
        <v>235</v>
      </c>
      <c r="F7" s="142">
        <v>0</v>
      </c>
      <c r="G7" s="142">
        <v>0</v>
      </c>
      <c r="H7" s="21">
        <v>0</v>
      </c>
    </row>
    <row r="8" spans="1:11">
      <c r="A8" s="1060"/>
      <c r="B8" s="1060"/>
      <c r="C8" s="1061"/>
      <c r="D8" s="21">
        <f>D66</f>
        <v>15879</v>
      </c>
      <c r="E8" s="20" t="s">
        <v>264</v>
      </c>
      <c r="F8" s="142">
        <f>F66</f>
        <v>0</v>
      </c>
      <c r="G8" s="142">
        <f>G66</f>
        <v>0</v>
      </c>
      <c r="H8" s="21">
        <f>H66</f>
        <v>0</v>
      </c>
    </row>
    <row r="9" spans="1:11">
      <c r="A9" s="1060"/>
      <c r="B9" s="1060"/>
      <c r="C9" s="1061"/>
      <c r="D9" s="21">
        <v>0</v>
      </c>
      <c r="E9" s="20" t="s">
        <v>265</v>
      </c>
      <c r="F9" s="142">
        <v>0</v>
      </c>
      <c r="G9" s="142">
        <v>0</v>
      </c>
      <c r="H9" s="21">
        <v>0</v>
      </c>
    </row>
    <row r="10" spans="1:11">
      <c r="A10" s="1060"/>
      <c r="B10" s="1060"/>
      <c r="C10" s="1061"/>
      <c r="D10" s="21">
        <v>0</v>
      </c>
      <c r="E10" s="20" t="s">
        <v>234</v>
      </c>
      <c r="F10" s="142">
        <v>0</v>
      </c>
      <c r="G10" s="142">
        <v>0</v>
      </c>
      <c r="H10" s="21">
        <v>0</v>
      </c>
    </row>
    <row r="11" spans="1:11">
      <c r="A11" s="1072"/>
      <c r="B11" s="1072"/>
      <c r="C11" s="1073"/>
      <c r="D11" s="21">
        <v>0</v>
      </c>
      <c r="E11" s="20" t="s">
        <v>292</v>
      </c>
      <c r="F11" s="142">
        <v>0</v>
      </c>
      <c r="G11" s="142">
        <v>0</v>
      </c>
      <c r="H11" s="21">
        <v>0</v>
      </c>
    </row>
    <row r="12" spans="1:11">
      <c r="A12" s="1068" t="s">
        <v>228</v>
      </c>
      <c r="B12" s="1069"/>
      <c r="C12" s="1069"/>
      <c r="D12" s="1069"/>
      <c r="E12" s="1069"/>
      <c r="F12" s="1070"/>
      <c r="G12" s="1071"/>
      <c r="H12" s="1069"/>
    </row>
    <row r="13" spans="1:11">
      <c r="A13" s="62" t="s">
        <v>146</v>
      </c>
      <c r="B13" s="8" t="s">
        <v>147</v>
      </c>
      <c r="C13" s="10"/>
      <c r="D13" s="9">
        <f>D14+D17+D19+D22+D26+D32+D41+D43+D50+D53</f>
        <v>7484000</v>
      </c>
      <c r="E13" s="10" t="s">
        <v>0</v>
      </c>
      <c r="F13" s="145">
        <f>F14+F17+F19+F22+F26+F32+F41+F43+F50+F53</f>
        <v>7975234</v>
      </c>
      <c r="G13" s="145">
        <f>G14+G17+G19+G22+G26+G32+G41+G43+G50+G53</f>
        <v>7575234</v>
      </c>
      <c r="H13" s="9">
        <f>H14+H17+H19+H22+H26+H32+H41+H43+H50+H53</f>
        <v>7575234</v>
      </c>
    </row>
    <row r="14" spans="1:11">
      <c r="A14" s="63" t="s">
        <v>1</v>
      </c>
      <c r="B14" s="6" t="s">
        <v>2</v>
      </c>
      <c r="C14" s="5" t="s">
        <v>227</v>
      </c>
      <c r="D14" s="1">
        <f>D15+D16</f>
        <v>2575000</v>
      </c>
      <c r="E14" s="5" t="s">
        <v>0</v>
      </c>
      <c r="F14" s="146">
        <f>F15+F16</f>
        <v>3022534</v>
      </c>
      <c r="G14" s="146">
        <f>G15+G16</f>
        <v>3095000</v>
      </c>
      <c r="H14" s="1">
        <f>H15+H16</f>
        <v>3145000</v>
      </c>
    </row>
    <row r="15" spans="1:11">
      <c r="A15" s="64" t="s">
        <v>3</v>
      </c>
      <c r="B15" s="2" t="s">
        <v>4</v>
      </c>
      <c r="C15" s="4" t="s">
        <v>227</v>
      </c>
      <c r="D15" s="3">
        <v>2570000</v>
      </c>
      <c r="E15" s="4" t="s">
        <v>0</v>
      </c>
      <c r="F15" s="149">
        <v>3021534</v>
      </c>
      <c r="G15" s="149">
        <v>3094000</v>
      </c>
      <c r="H15" s="3">
        <v>3144000</v>
      </c>
    </row>
    <row r="16" spans="1:11">
      <c r="A16" s="64" t="s">
        <v>5</v>
      </c>
      <c r="B16" s="2" t="s">
        <v>6</v>
      </c>
      <c r="C16" s="4" t="s">
        <v>227</v>
      </c>
      <c r="D16" s="3">
        <v>5000</v>
      </c>
      <c r="E16" s="4" t="s">
        <v>0</v>
      </c>
      <c r="F16" s="149">
        <v>1000</v>
      </c>
      <c r="G16" s="149">
        <v>1000</v>
      </c>
      <c r="H16" s="3">
        <v>1000</v>
      </c>
    </row>
    <row r="17" spans="1:8">
      <c r="A17" s="63" t="s">
        <v>7</v>
      </c>
      <c r="B17" s="6" t="s">
        <v>8</v>
      </c>
      <c r="C17" s="5" t="s">
        <v>227</v>
      </c>
      <c r="D17" s="1">
        <f>D18</f>
        <v>92500</v>
      </c>
      <c r="E17" s="5" t="s">
        <v>0</v>
      </c>
      <c r="F17" s="146">
        <f>F18</f>
        <v>100000</v>
      </c>
      <c r="G17" s="146">
        <f>G18</f>
        <v>75000</v>
      </c>
      <c r="H17" s="1">
        <f>H18</f>
        <v>90000</v>
      </c>
    </row>
    <row r="18" spans="1:8">
      <c r="A18" s="64" t="s">
        <v>9</v>
      </c>
      <c r="B18" s="2" t="s">
        <v>8</v>
      </c>
      <c r="C18" s="4" t="s">
        <v>227</v>
      </c>
      <c r="D18" s="3">
        <v>92500</v>
      </c>
      <c r="E18" s="4" t="s">
        <v>0</v>
      </c>
      <c r="F18" s="149">
        <v>100000</v>
      </c>
      <c r="G18" s="149">
        <v>75000</v>
      </c>
      <c r="H18" s="3">
        <v>90000</v>
      </c>
    </row>
    <row r="19" spans="1:8">
      <c r="A19" s="63" t="s">
        <v>10</v>
      </c>
      <c r="B19" s="6" t="s">
        <v>11</v>
      </c>
      <c r="C19" s="5" t="s">
        <v>227</v>
      </c>
      <c r="D19" s="1">
        <f>D20+D21</f>
        <v>445200</v>
      </c>
      <c r="E19" s="5" t="s">
        <v>0</v>
      </c>
      <c r="F19" s="146">
        <f>F20+F21</f>
        <v>519900</v>
      </c>
      <c r="G19" s="146">
        <f>G20+G21</f>
        <v>532340</v>
      </c>
      <c r="H19" s="1">
        <f>H20+H21</f>
        <v>540940</v>
      </c>
    </row>
    <row r="20" spans="1:8">
      <c r="A20" s="64" t="s">
        <v>12</v>
      </c>
      <c r="B20" s="2" t="s">
        <v>13</v>
      </c>
      <c r="C20" s="4" t="s">
        <v>227</v>
      </c>
      <c r="D20" s="3">
        <v>388000</v>
      </c>
      <c r="E20" s="4" t="s">
        <v>0</v>
      </c>
      <c r="F20" s="149">
        <v>468500</v>
      </c>
      <c r="G20" s="149">
        <v>479730</v>
      </c>
      <c r="H20" s="3">
        <v>487500</v>
      </c>
    </row>
    <row r="21" spans="1:8">
      <c r="A21" s="64" t="s">
        <v>14</v>
      </c>
      <c r="B21" s="2" t="s">
        <v>15</v>
      </c>
      <c r="C21" s="4" t="s">
        <v>227</v>
      </c>
      <c r="D21" s="3">
        <v>57200</v>
      </c>
      <c r="E21" s="4" t="s">
        <v>0</v>
      </c>
      <c r="F21" s="149">
        <v>51400</v>
      </c>
      <c r="G21" s="149">
        <v>52610</v>
      </c>
      <c r="H21" s="3">
        <v>53440</v>
      </c>
    </row>
    <row r="22" spans="1:8">
      <c r="A22" s="63" t="s">
        <v>16</v>
      </c>
      <c r="B22" s="6" t="s">
        <v>17</v>
      </c>
      <c r="C22" s="5" t="s">
        <v>227</v>
      </c>
      <c r="D22" s="1">
        <f>D23+D24+D25</f>
        <v>295000</v>
      </c>
      <c r="E22" s="5" t="s">
        <v>0</v>
      </c>
      <c r="F22" s="146">
        <f>F23+F24+F25</f>
        <v>345000</v>
      </c>
      <c r="G22" s="146">
        <f>G23+G24+G25</f>
        <v>345000</v>
      </c>
      <c r="H22" s="1">
        <f>H23+H24+H25</f>
        <v>345000</v>
      </c>
    </row>
    <row r="23" spans="1:8">
      <c r="A23" s="64" t="s">
        <v>18</v>
      </c>
      <c r="B23" s="2" t="s">
        <v>19</v>
      </c>
      <c r="C23" s="4" t="s">
        <v>227</v>
      </c>
      <c r="D23" s="3">
        <v>180000</v>
      </c>
      <c r="E23" s="4" t="s">
        <v>0</v>
      </c>
      <c r="F23" s="149">
        <v>200000</v>
      </c>
      <c r="G23" s="149">
        <v>200000</v>
      </c>
      <c r="H23" s="3">
        <v>200000</v>
      </c>
    </row>
    <row r="24" spans="1:8">
      <c r="A24" s="64" t="s">
        <v>20</v>
      </c>
      <c r="B24" s="2" t="s">
        <v>21</v>
      </c>
      <c r="C24" s="4" t="s">
        <v>227</v>
      </c>
      <c r="D24" s="3">
        <v>75000</v>
      </c>
      <c r="E24" s="4" t="s">
        <v>0</v>
      </c>
      <c r="F24" s="149">
        <v>95000</v>
      </c>
      <c r="G24" s="149">
        <v>95000</v>
      </c>
      <c r="H24" s="3">
        <v>95000</v>
      </c>
    </row>
    <row r="25" spans="1:8">
      <c r="A25" s="64" t="s">
        <v>22</v>
      </c>
      <c r="B25" s="2" t="s">
        <v>23</v>
      </c>
      <c r="C25" s="4" t="s">
        <v>227</v>
      </c>
      <c r="D25" s="3">
        <v>40000</v>
      </c>
      <c r="E25" s="4" t="s">
        <v>0</v>
      </c>
      <c r="F25" s="149">
        <v>50000</v>
      </c>
      <c r="G25" s="149">
        <v>50000</v>
      </c>
      <c r="H25" s="3">
        <v>50000</v>
      </c>
    </row>
    <row r="26" spans="1:8">
      <c r="A26" s="63" t="s">
        <v>24</v>
      </c>
      <c r="B26" s="6" t="s">
        <v>25</v>
      </c>
      <c r="C26" s="5" t="s">
        <v>227</v>
      </c>
      <c r="D26" s="1">
        <f>D27+D28+D29+D30+D31</f>
        <v>73000</v>
      </c>
      <c r="E26" s="5" t="s">
        <v>0</v>
      </c>
      <c r="F26" s="146">
        <f>F27+F28+F29+F30+F31</f>
        <v>114000</v>
      </c>
      <c r="G26" s="146">
        <f>G27+G28+G29+G30+G31</f>
        <v>114000</v>
      </c>
      <c r="H26" s="1">
        <f>H27+H28+H29+H30+H31</f>
        <v>114000</v>
      </c>
    </row>
    <row r="27" spans="1:8">
      <c r="A27" s="64" t="s">
        <v>26</v>
      </c>
      <c r="B27" s="2" t="s">
        <v>27</v>
      </c>
      <c r="C27" s="4" t="s">
        <v>227</v>
      </c>
      <c r="D27" s="3">
        <v>38000</v>
      </c>
      <c r="E27" s="4" t="s">
        <v>0</v>
      </c>
      <c r="F27" s="149">
        <v>50000</v>
      </c>
      <c r="G27" s="149">
        <v>50000</v>
      </c>
      <c r="H27" s="3">
        <v>50000</v>
      </c>
    </row>
    <row r="28" spans="1:8">
      <c r="A28" s="64" t="s">
        <v>121</v>
      </c>
      <c r="B28" s="2" t="s">
        <v>122</v>
      </c>
      <c r="C28" s="4" t="s">
        <v>227</v>
      </c>
      <c r="D28" s="3">
        <v>5000</v>
      </c>
      <c r="E28" s="4" t="s">
        <v>0</v>
      </c>
      <c r="F28" s="149">
        <v>3000</v>
      </c>
      <c r="G28" s="149">
        <v>3000</v>
      </c>
      <c r="H28" s="3">
        <v>3000</v>
      </c>
    </row>
    <row r="29" spans="1:8">
      <c r="A29" s="64" t="s">
        <v>28</v>
      </c>
      <c r="B29" s="2" t="s">
        <v>29</v>
      </c>
      <c r="C29" s="4" t="s">
        <v>227</v>
      </c>
      <c r="D29" s="3">
        <v>20000</v>
      </c>
      <c r="E29" s="4" t="s">
        <v>0</v>
      </c>
      <c r="F29" s="149">
        <v>40000</v>
      </c>
      <c r="G29" s="149">
        <v>40000</v>
      </c>
      <c r="H29" s="3">
        <v>40000</v>
      </c>
    </row>
    <row r="30" spans="1:8">
      <c r="A30" s="64" t="s">
        <v>30</v>
      </c>
      <c r="B30" s="2" t="s">
        <v>31</v>
      </c>
      <c r="C30" s="4" t="s">
        <v>227</v>
      </c>
      <c r="D30" s="3">
        <v>5000</v>
      </c>
      <c r="E30" s="4" t="s">
        <v>0</v>
      </c>
      <c r="F30" s="149">
        <v>3000</v>
      </c>
      <c r="G30" s="149">
        <v>3000</v>
      </c>
      <c r="H30" s="3">
        <v>3000</v>
      </c>
    </row>
    <row r="31" spans="1:8">
      <c r="A31" s="64" t="s">
        <v>32</v>
      </c>
      <c r="B31" s="2" t="s">
        <v>33</v>
      </c>
      <c r="C31" s="4" t="s">
        <v>227</v>
      </c>
      <c r="D31" s="3">
        <v>5000</v>
      </c>
      <c r="E31" s="4" t="s">
        <v>0</v>
      </c>
      <c r="F31" s="149">
        <v>18000</v>
      </c>
      <c r="G31" s="149">
        <v>18000</v>
      </c>
      <c r="H31" s="3">
        <v>18000</v>
      </c>
    </row>
    <row r="32" spans="1:8">
      <c r="A32" s="63" t="s">
        <v>34</v>
      </c>
      <c r="B32" s="6" t="s">
        <v>35</v>
      </c>
      <c r="C32" s="5" t="s">
        <v>227</v>
      </c>
      <c r="D32" s="1">
        <f>D33+D34+D35+D36+D37+D38+D39+D40</f>
        <v>3616370</v>
      </c>
      <c r="E32" s="5" t="s">
        <v>0</v>
      </c>
      <c r="F32" s="146">
        <f>F33+F34+F35+F36+F37+F38+F39+F40</f>
        <v>3410000</v>
      </c>
      <c r="G32" s="146">
        <f>G33+G34+G35+G36+G37+G38+G39+G40</f>
        <v>2990094</v>
      </c>
      <c r="H32" s="1">
        <f>H33+H34+H35+H36+H37+H38+H39+H40</f>
        <v>2916494</v>
      </c>
    </row>
    <row r="33" spans="1:8">
      <c r="A33" s="64" t="s">
        <v>36</v>
      </c>
      <c r="B33" s="2" t="s">
        <v>37</v>
      </c>
      <c r="C33" s="4" t="s">
        <v>227</v>
      </c>
      <c r="D33" s="3">
        <v>60000</v>
      </c>
      <c r="E33" s="4" t="s">
        <v>0</v>
      </c>
      <c r="F33" s="149">
        <v>55000</v>
      </c>
      <c r="G33" s="149">
        <v>55000</v>
      </c>
      <c r="H33" s="3">
        <v>55000</v>
      </c>
    </row>
    <row r="34" spans="1:8">
      <c r="A34" s="64" t="s">
        <v>38</v>
      </c>
      <c r="B34" s="2" t="s">
        <v>39</v>
      </c>
      <c r="C34" s="4" t="s">
        <v>227</v>
      </c>
      <c r="D34" s="3">
        <v>50000</v>
      </c>
      <c r="E34" s="4" t="s">
        <v>0</v>
      </c>
      <c r="F34" s="149">
        <v>40000</v>
      </c>
      <c r="G34" s="149">
        <v>40000</v>
      </c>
      <c r="H34" s="3">
        <v>40000</v>
      </c>
    </row>
    <row r="35" spans="1:8">
      <c r="A35" s="64" t="s">
        <v>40</v>
      </c>
      <c r="B35" s="2" t="s">
        <v>41</v>
      </c>
      <c r="C35" s="4" t="s">
        <v>227</v>
      </c>
      <c r="D35" s="3">
        <v>10000</v>
      </c>
      <c r="E35" s="4" t="s">
        <v>0</v>
      </c>
      <c r="F35" s="149">
        <v>20000</v>
      </c>
      <c r="G35" s="149">
        <v>20000</v>
      </c>
      <c r="H35" s="3">
        <v>20000</v>
      </c>
    </row>
    <row r="36" spans="1:8">
      <c r="A36" s="64" t="s">
        <v>44</v>
      </c>
      <c r="B36" s="2" t="s">
        <v>45</v>
      </c>
      <c r="C36" s="4" t="s">
        <v>227</v>
      </c>
      <c r="D36" s="3">
        <v>50000</v>
      </c>
      <c r="E36" s="4" t="s">
        <v>0</v>
      </c>
      <c r="F36" s="149">
        <v>60000</v>
      </c>
      <c r="G36" s="149">
        <v>60000</v>
      </c>
      <c r="H36" s="3">
        <v>60000</v>
      </c>
    </row>
    <row r="37" spans="1:8">
      <c r="A37" s="64" t="s">
        <v>46</v>
      </c>
      <c r="B37" s="2" t="s">
        <v>47</v>
      </c>
      <c r="C37" s="4" t="s">
        <v>227</v>
      </c>
      <c r="D37" s="3">
        <v>20000</v>
      </c>
      <c r="E37" s="4" t="s">
        <v>0</v>
      </c>
      <c r="F37" s="149">
        <v>15000</v>
      </c>
      <c r="G37" s="149">
        <v>15000</v>
      </c>
      <c r="H37" s="3">
        <v>15000</v>
      </c>
    </row>
    <row r="38" spans="1:8">
      <c r="A38" s="64" t="s">
        <v>48</v>
      </c>
      <c r="B38" s="2" t="s">
        <v>49</v>
      </c>
      <c r="C38" s="4" t="s">
        <v>227</v>
      </c>
      <c r="D38" s="3">
        <v>3223370</v>
      </c>
      <c r="E38" s="4" t="s">
        <v>0</v>
      </c>
      <c r="F38" s="149">
        <v>3000000</v>
      </c>
      <c r="G38" s="149">
        <v>2580094</v>
      </c>
      <c r="H38" s="3">
        <v>2506494</v>
      </c>
    </row>
    <row r="39" spans="1:8">
      <c r="A39" s="64" t="s">
        <v>50</v>
      </c>
      <c r="B39" s="2" t="s">
        <v>51</v>
      </c>
      <c r="C39" s="4" t="s">
        <v>227</v>
      </c>
      <c r="D39" s="3">
        <v>123000</v>
      </c>
      <c r="E39" s="4" t="s">
        <v>0</v>
      </c>
      <c r="F39" s="149">
        <v>140000</v>
      </c>
      <c r="G39" s="149">
        <v>140000</v>
      </c>
      <c r="H39" s="3">
        <v>140000</v>
      </c>
    </row>
    <row r="40" spans="1:8">
      <c r="A40" s="64" t="s">
        <v>52</v>
      </c>
      <c r="B40" s="2" t="s">
        <v>53</v>
      </c>
      <c r="C40" s="4" t="s">
        <v>227</v>
      </c>
      <c r="D40" s="3">
        <v>80000</v>
      </c>
      <c r="E40" s="4" t="s">
        <v>0</v>
      </c>
      <c r="F40" s="149">
        <v>80000</v>
      </c>
      <c r="G40" s="149">
        <v>80000</v>
      </c>
      <c r="H40" s="3">
        <v>80000</v>
      </c>
    </row>
    <row r="41" spans="1:8">
      <c r="A41" s="63" t="s">
        <v>54</v>
      </c>
      <c r="B41" s="6" t="s">
        <v>55</v>
      </c>
      <c r="C41" s="5" t="s">
        <v>227</v>
      </c>
      <c r="D41" s="1">
        <f>D42</f>
        <v>110000</v>
      </c>
      <c r="E41" s="5" t="s">
        <v>0</v>
      </c>
      <c r="F41" s="146">
        <f>F42</f>
        <v>140000</v>
      </c>
      <c r="G41" s="146">
        <f>G42</f>
        <v>100000</v>
      </c>
      <c r="H41" s="1">
        <f>H42</f>
        <v>100000</v>
      </c>
    </row>
    <row r="42" spans="1:8">
      <c r="A42" s="64" t="s">
        <v>56</v>
      </c>
      <c r="B42" s="2" t="s">
        <v>55</v>
      </c>
      <c r="C42" s="4" t="s">
        <v>227</v>
      </c>
      <c r="D42" s="3">
        <v>110000</v>
      </c>
      <c r="E42" s="4" t="s">
        <v>0</v>
      </c>
      <c r="F42" s="149">
        <v>140000</v>
      </c>
      <c r="G42" s="149">
        <v>100000</v>
      </c>
      <c r="H42" s="3">
        <v>100000</v>
      </c>
    </row>
    <row r="43" spans="1:8">
      <c r="A43" s="63" t="s">
        <v>57</v>
      </c>
      <c r="B43" s="6" t="s">
        <v>58</v>
      </c>
      <c r="C43" s="5" t="s">
        <v>227</v>
      </c>
      <c r="D43" s="1">
        <f>D44+D45+D46+D47+D49+D48</f>
        <v>257930</v>
      </c>
      <c r="E43" s="5" t="s">
        <v>0</v>
      </c>
      <c r="F43" s="146">
        <f>F44+F45+F46+F47+F49+F48</f>
        <v>309780</v>
      </c>
      <c r="G43" s="146">
        <f>G44+G45+G46+G47+G49+G48</f>
        <v>309780</v>
      </c>
      <c r="H43" s="1">
        <f>H44+H45+H46+H47+H49+H48</f>
        <v>309780</v>
      </c>
    </row>
    <row r="44" spans="1:8">
      <c r="A44" s="64" t="s">
        <v>59</v>
      </c>
      <c r="B44" s="2" t="s">
        <v>60</v>
      </c>
      <c r="C44" s="4" t="s">
        <v>227</v>
      </c>
      <c r="D44" s="3">
        <v>95730</v>
      </c>
      <c r="E44" s="4" t="s">
        <v>0</v>
      </c>
      <c r="F44" s="149">
        <v>120000</v>
      </c>
      <c r="G44" s="149">
        <v>120000</v>
      </c>
      <c r="H44" s="3">
        <v>120000</v>
      </c>
    </row>
    <row r="45" spans="1:8">
      <c r="A45" s="64" t="s">
        <v>61</v>
      </c>
      <c r="B45" s="2" t="s">
        <v>62</v>
      </c>
      <c r="C45" s="4" t="s">
        <v>227</v>
      </c>
      <c r="D45" s="3">
        <v>7500</v>
      </c>
      <c r="E45" s="4" t="s">
        <v>0</v>
      </c>
      <c r="F45" s="149">
        <v>8000</v>
      </c>
      <c r="G45" s="149">
        <v>8000</v>
      </c>
      <c r="H45" s="3">
        <v>8000</v>
      </c>
    </row>
    <row r="46" spans="1:8">
      <c r="A46" s="64" t="s">
        <v>63</v>
      </c>
      <c r="B46" s="2" t="s">
        <v>64</v>
      </c>
      <c r="C46" s="4" t="s">
        <v>227</v>
      </c>
      <c r="D46" s="3">
        <v>10000</v>
      </c>
      <c r="E46" s="4" t="s">
        <v>0</v>
      </c>
      <c r="F46" s="149">
        <v>10580</v>
      </c>
      <c r="G46" s="149">
        <v>10580</v>
      </c>
      <c r="H46" s="3">
        <v>10580</v>
      </c>
    </row>
    <row r="47" spans="1:8">
      <c r="A47" s="64" t="s">
        <v>65</v>
      </c>
      <c r="B47" s="2" t="s">
        <v>66</v>
      </c>
      <c r="C47" s="4" t="s">
        <v>227</v>
      </c>
      <c r="D47" s="3">
        <v>144000</v>
      </c>
      <c r="E47" s="4" t="s">
        <v>0</v>
      </c>
      <c r="F47" s="149">
        <v>170000</v>
      </c>
      <c r="G47" s="149">
        <v>170000</v>
      </c>
      <c r="H47" s="3">
        <v>170000</v>
      </c>
    </row>
    <row r="48" spans="1:8">
      <c r="A48" s="64" t="s">
        <v>67</v>
      </c>
      <c r="B48" s="2" t="s">
        <v>68</v>
      </c>
      <c r="C48" s="4" t="s">
        <v>227</v>
      </c>
      <c r="D48" s="3">
        <v>0</v>
      </c>
      <c r="E48" s="4" t="s">
        <v>0</v>
      </c>
      <c r="F48" s="149">
        <v>200</v>
      </c>
      <c r="G48" s="149">
        <v>200</v>
      </c>
      <c r="H48" s="3">
        <v>200</v>
      </c>
    </row>
    <row r="49" spans="1:8">
      <c r="A49" s="64" t="s">
        <v>69</v>
      </c>
      <c r="B49" s="2" t="s">
        <v>58</v>
      </c>
      <c r="C49" s="4" t="s">
        <v>227</v>
      </c>
      <c r="D49" s="3">
        <v>700</v>
      </c>
      <c r="E49" s="4" t="s">
        <v>0</v>
      </c>
      <c r="F49" s="149">
        <v>1000</v>
      </c>
      <c r="G49" s="149">
        <v>1000</v>
      </c>
      <c r="H49" s="3">
        <v>1000</v>
      </c>
    </row>
    <row r="50" spans="1:8">
      <c r="A50" s="63" t="s">
        <v>70</v>
      </c>
      <c r="B50" s="6" t="s">
        <v>71</v>
      </c>
      <c r="C50" s="5" t="s">
        <v>227</v>
      </c>
      <c r="D50" s="1">
        <f>D51+D52</f>
        <v>9000</v>
      </c>
      <c r="E50" s="5" t="s">
        <v>0</v>
      </c>
      <c r="F50" s="146">
        <f>F51+F52</f>
        <v>8020</v>
      </c>
      <c r="G50" s="146">
        <f>G51+G52</f>
        <v>8020</v>
      </c>
      <c r="H50" s="1">
        <f>H51+H52</f>
        <v>8020</v>
      </c>
    </row>
    <row r="51" spans="1:8">
      <c r="A51" s="64" t="s">
        <v>72</v>
      </c>
      <c r="B51" s="2" t="s">
        <v>73</v>
      </c>
      <c r="C51" s="4" t="s">
        <v>227</v>
      </c>
      <c r="D51" s="3">
        <v>9000</v>
      </c>
      <c r="E51" s="4" t="s">
        <v>0</v>
      </c>
      <c r="F51" s="149">
        <v>8000</v>
      </c>
      <c r="G51" s="149">
        <v>8000</v>
      </c>
      <c r="H51" s="3">
        <v>8000</v>
      </c>
    </row>
    <row r="52" spans="1:8">
      <c r="A52" s="64" t="s">
        <v>74</v>
      </c>
      <c r="B52" s="2" t="s">
        <v>75</v>
      </c>
      <c r="C52" s="4" t="s">
        <v>227</v>
      </c>
      <c r="D52" s="3">
        <v>0</v>
      </c>
      <c r="E52" s="4" t="s">
        <v>0</v>
      </c>
      <c r="F52" s="149">
        <v>20</v>
      </c>
      <c r="G52" s="149">
        <v>20</v>
      </c>
      <c r="H52" s="3">
        <v>20</v>
      </c>
    </row>
    <row r="53" spans="1:8">
      <c r="A53" s="63" t="s">
        <v>88</v>
      </c>
      <c r="B53" s="6" t="s">
        <v>89</v>
      </c>
      <c r="C53" s="5" t="s">
        <v>227</v>
      </c>
      <c r="D53" s="1">
        <f>D54+D55</f>
        <v>10000</v>
      </c>
      <c r="E53" s="5" t="s">
        <v>0</v>
      </c>
      <c r="F53" s="146">
        <f>F54+F55</f>
        <v>6000</v>
      </c>
      <c r="G53" s="146">
        <f>G54+G55</f>
        <v>6000</v>
      </c>
      <c r="H53" s="1">
        <f>H54+H55</f>
        <v>6000</v>
      </c>
    </row>
    <row r="54" spans="1:8">
      <c r="A54" s="64" t="s">
        <v>90</v>
      </c>
      <c r="B54" s="2" t="s">
        <v>91</v>
      </c>
      <c r="C54" s="4" t="s">
        <v>227</v>
      </c>
      <c r="D54" s="3">
        <v>5000</v>
      </c>
      <c r="E54" s="4" t="s">
        <v>0</v>
      </c>
      <c r="F54" s="149">
        <v>3000</v>
      </c>
      <c r="G54" s="149">
        <v>3000</v>
      </c>
      <c r="H54" s="3">
        <v>3000</v>
      </c>
    </row>
    <row r="55" spans="1:8">
      <c r="A55" s="64" t="s">
        <v>94</v>
      </c>
      <c r="B55" s="2" t="s">
        <v>95</v>
      </c>
      <c r="C55" s="4" t="s">
        <v>227</v>
      </c>
      <c r="D55" s="3">
        <v>5000</v>
      </c>
      <c r="E55" s="4" t="s">
        <v>0</v>
      </c>
      <c r="F55" s="149">
        <v>3000</v>
      </c>
      <c r="G55" s="149">
        <v>3000</v>
      </c>
      <c r="H55" s="3">
        <v>3000</v>
      </c>
    </row>
    <row r="56" spans="1:8">
      <c r="A56" s="62" t="s">
        <v>148</v>
      </c>
      <c r="B56" s="8" t="s">
        <v>87</v>
      </c>
      <c r="C56" s="10" t="s">
        <v>227</v>
      </c>
      <c r="D56" s="9">
        <f>D57+D59</f>
        <v>40000</v>
      </c>
      <c r="E56" s="10" t="s">
        <v>0</v>
      </c>
      <c r="F56" s="145">
        <f>F57+F59</f>
        <v>50000</v>
      </c>
      <c r="G56" s="145">
        <f>G57+G59</f>
        <v>50000</v>
      </c>
      <c r="H56" s="9">
        <f>H57+H59</f>
        <v>50000</v>
      </c>
    </row>
    <row r="57" spans="1:8">
      <c r="A57" s="63" t="s">
        <v>88</v>
      </c>
      <c r="B57" s="6" t="s">
        <v>89</v>
      </c>
      <c r="C57" s="5" t="s">
        <v>227</v>
      </c>
      <c r="D57" s="1">
        <f>D58</f>
        <v>10000</v>
      </c>
      <c r="E57" s="5" t="s">
        <v>0</v>
      </c>
      <c r="F57" s="146">
        <f>F58</f>
        <v>10000</v>
      </c>
      <c r="G57" s="146">
        <f>G58</f>
        <v>10000</v>
      </c>
      <c r="H57" s="1">
        <f>H58</f>
        <v>10000</v>
      </c>
    </row>
    <row r="58" spans="1:8">
      <c r="A58" s="64" t="s">
        <v>90</v>
      </c>
      <c r="B58" s="2" t="s">
        <v>91</v>
      </c>
      <c r="C58" s="4" t="s">
        <v>227</v>
      </c>
      <c r="D58" s="3">
        <v>10000</v>
      </c>
      <c r="E58" s="4" t="s">
        <v>0</v>
      </c>
      <c r="F58" s="149">
        <v>10000</v>
      </c>
      <c r="G58" s="149">
        <v>10000</v>
      </c>
      <c r="H58" s="3">
        <v>10000</v>
      </c>
    </row>
    <row r="59" spans="1:8">
      <c r="A59" s="63" t="s">
        <v>140</v>
      </c>
      <c r="B59" s="6" t="s">
        <v>141</v>
      </c>
      <c r="C59" s="5" t="s">
        <v>227</v>
      </c>
      <c r="D59" s="1">
        <f>D60</f>
        <v>30000</v>
      </c>
      <c r="E59" s="5" t="s">
        <v>0</v>
      </c>
      <c r="F59" s="146">
        <f>F60</f>
        <v>40000</v>
      </c>
      <c r="G59" s="146">
        <f>G60</f>
        <v>40000</v>
      </c>
      <c r="H59" s="1">
        <f>H60</f>
        <v>40000</v>
      </c>
    </row>
    <row r="60" spans="1:8">
      <c r="A60" s="46" t="s">
        <v>142</v>
      </c>
      <c r="B60" s="11" t="s">
        <v>143</v>
      </c>
      <c r="C60" s="93" t="s">
        <v>227</v>
      </c>
      <c r="D60" s="12">
        <v>30000</v>
      </c>
      <c r="E60" s="93" t="s">
        <v>0</v>
      </c>
      <c r="F60" s="150">
        <v>40000</v>
      </c>
      <c r="G60" s="150">
        <v>40000</v>
      </c>
      <c r="H60" s="12">
        <v>40000</v>
      </c>
    </row>
    <row r="61" spans="1:8">
      <c r="A61" s="62" t="s">
        <v>146</v>
      </c>
      <c r="B61" s="8" t="s">
        <v>147</v>
      </c>
      <c r="C61" s="10"/>
      <c r="D61" s="9">
        <f>SUM(D62:D65)</f>
        <v>79383</v>
      </c>
      <c r="E61" s="10" t="s">
        <v>216</v>
      </c>
      <c r="F61" s="145">
        <f>SUM(F62:F65)</f>
        <v>0</v>
      </c>
      <c r="G61" s="145">
        <f>SUM(G62:G65)</f>
        <v>0</v>
      </c>
      <c r="H61" s="145">
        <v>0</v>
      </c>
    </row>
    <row r="62" spans="1:8">
      <c r="A62" s="64" t="s">
        <v>18</v>
      </c>
      <c r="B62" s="2" t="s">
        <v>19</v>
      </c>
      <c r="C62" s="4" t="s">
        <v>227</v>
      </c>
      <c r="D62" s="3">
        <v>7919</v>
      </c>
      <c r="E62" s="4" t="s">
        <v>216</v>
      </c>
      <c r="F62" s="149"/>
      <c r="G62" s="149"/>
      <c r="H62" s="3"/>
    </row>
    <row r="63" spans="1:8">
      <c r="A63" s="64" t="s">
        <v>48</v>
      </c>
      <c r="B63" s="2" t="s">
        <v>49</v>
      </c>
      <c r="C63" s="4" t="s">
        <v>227</v>
      </c>
      <c r="D63" s="3">
        <v>61555</v>
      </c>
      <c r="E63" s="4" t="s">
        <v>216</v>
      </c>
      <c r="F63" s="149"/>
      <c r="G63" s="149"/>
      <c r="H63" s="149"/>
    </row>
    <row r="64" spans="1:8">
      <c r="A64" s="64" t="s">
        <v>56</v>
      </c>
      <c r="B64" s="2" t="s">
        <v>55</v>
      </c>
      <c r="C64" s="4" t="s">
        <v>227</v>
      </c>
      <c r="D64" s="3">
        <v>9120</v>
      </c>
      <c r="E64" s="4" t="s">
        <v>216</v>
      </c>
      <c r="F64" s="149"/>
      <c r="G64" s="149"/>
      <c r="H64" s="3"/>
    </row>
    <row r="65" spans="1:8">
      <c r="A65" s="64" t="s">
        <v>72</v>
      </c>
      <c r="B65" s="2" t="s">
        <v>73</v>
      </c>
      <c r="C65" s="4" t="s">
        <v>227</v>
      </c>
      <c r="D65" s="3">
        <v>789</v>
      </c>
      <c r="E65" s="4" t="s">
        <v>216</v>
      </c>
      <c r="F65" s="149"/>
      <c r="G65" s="149"/>
      <c r="H65" s="3"/>
    </row>
    <row r="66" spans="1:8">
      <c r="A66" s="62" t="s">
        <v>146</v>
      </c>
      <c r="B66" s="8" t="s">
        <v>147</v>
      </c>
      <c r="C66" s="10"/>
      <c r="D66" s="9">
        <f>D67</f>
        <v>15879</v>
      </c>
      <c r="E66" s="10" t="s">
        <v>264</v>
      </c>
      <c r="F66" s="145">
        <f t="shared" ref="F66:H67" si="1">F67</f>
        <v>0</v>
      </c>
      <c r="G66" s="145">
        <f t="shared" si="1"/>
        <v>0</v>
      </c>
      <c r="H66" s="9">
        <f t="shared" si="1"/>
        <v>0</v>
      </c>
    </row>
    <row r="67" spans="1:8">
      <c r="A67" s="63" t="s">
        <v>54</v>
      </c>
      <c r="B67" s="6" t="s">
        <v>55</v>
      </c>
      <c r="C67" s="5" t="s">
        <v>227</v>
      </c>
      <c r="D67" s="1">
        <f>D68</f>
        <v>15879</v>
      </c>
      <c r="E67" s="19">
        <v>52</v>
      </c>
      <c r="F67" s="146"/>
      <c r="G67" s="146">
        <f t="shared" si="1"/>
        <v>0</v>
      </c>
      <c r="H67" s="1">
        <f t="shared" si="1"/>
        <v>0</v>
      </c>
    </row>
    <row r="68" spans="1:8">
      <c r="A68" s="64" t="s">
        <v>56</v>
      </c>
      <c r="B68" s="2" t="s">
        <v>55</v>
      </c>
      <c r="C68" s="4" t="s">
        <v>227</v>
      </c>
      <c r="D68" s="3">
        <v>15879</v>
      </c>
      <c r="E68" s="4">
        <v>52</v>
      </c>
      <c r="F68" s="149"/>
      <c r="G68" s="149"/>
      <c r="H68" s="3"/>
    </row>
  </sheetData>
  <customSheetViews>
    <customSheetView guid="{DE360DA9-5353-4F03-95DA-9238CFBE39D8}" scale="110" showPageBreaks="1" printArea="1" state="hidden">
      <pane ySplit="12" topLeftCell="A28" activePane="bottomLeft" state="frozen"/>
      <selection pane="bottomLeft" activeCell="F3" sqref="F3:H3"/>
      <rowBreaks count="1" manualBreakCount="1">
        <brk id="35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1"/>
      <headerFooter>
        <oddFooter>&amp;CH A A&amp;R&amp;P</oddFooter>
      </headerFooter>
    </customSheetView>
    <customSheetView guid="{4FFB33FE-6696-4144-BF99-378C5196B940}" scale="110" showPageBreaks="1" printArea="1" state="hidden">
      <pane ySplit="12" topLeftCell="A28" activePane="bottomLeft" state="frozen"/>
      <selection pane="bottomLeft" activeCell="F3" sqref="F3:H3"/>
      <rowBreaks count="1" manualBreakCount="1">
        <brk id="35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2"/>
      <headerFooter>
        <oddFooter>&amp;CH A A&amp;R&amp;P</oddFooter>
      </headerFooter>
    </customSheetView>
    <customSheetView guid="{3D59341C-00F4-4635-AC4F-8988CF6BE637}" scale="110" state="hidden">
      <pane ySplit="12" topLeftCell="A28" activePane="bottomLeft" state="frozen"/>
      <selection pane="bottomLeft" activeCell="F3" sqref="F3:H3"/>
      <rowBreaks count="1" manualBreakCount="1">
        <brk id="35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3"/>
      <headerFooter>
        <oddFooter>&amp;CH A A&amp;R&amp;P</oddFooter>
      </headerFooter>
    </customSheetView>
    <customSheetView guid="{5251AB89-31D9-4C6C-945A-13C9748C2E26}" scale="110" state="hidden">
      <pane ySplit="12" topLeftCell="A28" activePane="bottomLeft" state="frozen"/>
      <selection pane="bottomLeft" activeCell="F3" sqref="F3:H3"/>
      <rowBreaks count="1" manualBreakCount="1">
        <brk id="35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4"/>
      <headerFooter>
        <oddFooter>&amp;CH A A&amp;R&amp;P</oddFooter>
      </headerFooter>
    </customSheetView>
    <customSheetView guid="{14A1FC8C-94B5-4B4E-9269-30661976D1D1}" scale="110" state="hidden">
      <pane ySplit="12" topLeftCell="A28" activePane="bottomLeft" state="frozen"/>
      <selection pane="bottomLeft" activeCell="F3" sqref="F3:H3"/>
      <rowBreaks count="1" manualBreakCount="1">
        <brk id="35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5"/>
      <headerFooter>
        <oddFooter>&amp;CH A A&amp;R&amp;P</oddFooter>
      </headerFooter>
    </customSheetView>
    <customSheetView guid="{D0F51479-7B68-4FFC-8604-F0A17468B00E}" scale="110" state="hidden">
      <pane ySplit="12" topLeftCell="A28" activePane="bottomLeft" state="frozen"/>
      <selection pane="bottomLeft" activeCell="F3" sqref="F3:H3"/>
      <rowBreaks count="1" manualBreakCount="1">
        <brk id="35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6"/>
      <headerFooter>
        <oddFooter>&amp;CH A A&amp;R&amp;P</oddFooter>
      </headerFooter>
    </customSheetView>
    <customSheetView guid="{0D7CE69A-AF67-471F-AE1C-92FEF35D1955}" scale="110" showPageBreaks="1" printArea="1" state="hidden">
      <pane ySplit="12" topLeftCell="A28" activePane="bottomLeft" state="frozen"/>
      <selection pane="bottomLeft" activeCell="F3" sqref="F3:H3"/>
      <rowBreaks count="1" manualBreakCount="1">
        <brk id="35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7"/>
      <headerFooter>
        <oddFooter>&amp;CH A A&amp;R&amp;P</oddFooter>
      </headerFooter>
    </customSheetView>
    <customSheetView guid="{3EC3B099-A84F-48D2-A97E-B7686AB72BE7}" scale="110" showPageBreaks="1" printArea="1" state="hidden">
      <pane ySplit="12" topLeftCell="A28" activePane="bottomLeft" state="frozen"/>
      <selection pane="bottomLeft" activeCell="F3" sqref="F3:H3"/>
      <rowBreaks count="1" manualBreakCount="1">
        <brk id="35" max="7" man="1"/>
      </rowBreaks>
      <pageMargins left="0.39370078740157483" right="0.39370078740157483" top="0.39370078740157483" bottom="0.39370078740157483" header="0.39370078740157483" footer="0.39370078740157483"/>
      <printOptions horizontalCentered="1"/>
      <pageSetup paperSize="9" scale="97" orientation="landscape" r:id="rId8"/>
      <headerFooter>
        <oddFooter>&amp;CH A A&amp;R&amp;P</oddFooter>
      </headerFooter>
    </customSheetView>
  </customSheetViews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7" orientation="landscape" r:id="rId9"/>
  <headerFooter>
    <oddFooter>&amp;CH A A&amp;R&amp;P</oddFooter>
  </headerFooter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</vt:i4>
      </vt:variant>
    </vt:vector>
  </HeadingPairs>
  <TitlesOfParts>
    <vt:vector size="36" baseType="lpstr">
      <vt:lpstr>NASLOVNA</vt:lpstr>
      <vt:lpstr> UKUPNO IZVORI</vt:lpstr>
      <vt:lpstr>MINGPO</vt:lpstr>
      <vt:lpstr>ZALIHE</vt:lpstr>
      <vt:lpstr> AOPT</vt:lpstr>
      <vt:lpstr>AIK</vt:lpstr>
      <vt:lpstr>DZM</vt:lpstr>
      <vt:lpstr>HZN</vt:lpstr>
      <vt:lpstr>HAA</vt:lpstr>
      <vt:lpstr>HAMAG-BICRO - prihodi</vt:lpstr>
      <vt:lpstr>HAMAG-BICRO - rashodi</vt:lpstr>
      <vt:lpstr>HAMAG-BICRO_rashodi (2) </vt:lpstr>
      <vt:lpstr>HAMAG-BICRO - prihodi (2)</vt:lpstr>
      <vt:lpstr>2. razina</vt:lpstr>
      <vt:lpstr>HCZP</vt:lpstr>
      <vt:lpstr>' AOPT'!Print_Area</vt:lpstr>
      <vt:lpstr>'2. razina'!Print_Area</vt:lpstr>
      <vt:lpstr>AIK!Print_Area</vt:lpstr>
      <vt:lpstr>DZM!Print_Area</vt:lpstr>
      <vt:lpstr>HAA!Print_Area</vt:lpstr>
      <vt:lpstr>'HAMAG-BICRO - prihodi (2)'!Print_Area</vt:lpstr>
      <vt:lpstr>'HAMAG-BICRO - rashodi'!Print_Area</vt:lpstr>
      <vt:lpstr>'HAMAG-BICRO_rashodi (2) '!Print_Area</vt:lpstr>
      <vt:lpstr>HCZP!Print_Area</vt:lpstr>
      <vt:lpstr>HZN!Print_Area</vt:lpstr>
      <vt:lpstr>MINGPO!Print_Area</vt:lpstr>
      <vt:lpstr>ZALIHE!Print_Area</vt:lpstr>
      <vt:lpstr>' AOPT'!Print_Titles</vt:lpstr>
      <vt:lpstr>AIK!Print_Titles</vt:lpstr>
      <vt:lpstr>DZM!Print_Titles</vt:lpstr>
      <vt:lpstr>HAA!Print_Titles</vt:lpstr>
      <vt:lpstr>'HAMAG-BICRO - prihodi (2)'!Print_Titles</vt:lpstr>
      <vt:lpstr>'HAMAG-BICRO_rashodi (2) '!Print_Titles</vt:lpstr>
      <vt:lpstr>HZN!Print_Titles</vt:lpstr>
      <vt:lpstr>MINGPO!Print_Titles</vt:lpstr>
      <vt:lpstr>ZALIHE!Print_Titles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Kalaminec</dc:creator>
  <cp:lastModifiedBy>Sara Lukić</cp:lastModifiedBy>
  <cp:lastPrinted>2019-12-03T09:02:38Z</cp:lastPrinted>
  <dcterms:created xsi:type="dcterms:W3CDTF">2015-06-11T08:00:38Z</dcterms:created>
  <dcterms:modified xsi:type="dcterms:W3CDTF">2019-12-05T09:07:20Z</dcterms:modified>
</cp:coreProperties>
</file>